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800" firstSheet="2" activeTab="2"/>
  </bookViews>
  <sheets>
    <sheet name="제목" sheetId="1" state="hidden" r:id="rId1"/>
    <sheet name="총칙" sheetId="2" state="hidden" r:id="rId2"/>
    <sheet name="총괄표 " sheetId="3" r:id="rId3"/>
    <sheet name="세입" sheetId="4" state="hidden" r:id="rId4"/>
    <sheet name="세출" sheetId="5" state="hidden" r:id="rId5"/>
    <sheet name="13년임금대장" sheetId="6" state="hidden" r:id="rId6"/>
  </sheets>
  <definedNames>
    <definedName name="_xlnm.Print_Area" localSheetId="3">'세입'!$A$1:$N$25</definedName>
    <definedName name="_xlnm.Print_Titles" localSheetId="3">'세입'!$1:$4</definedName>
  </definedNames>
  <calcPr fullCalcOnLoad="1"/>
</workbook>
</file>

<file path=xl/sharedStrings.xml><?xml version="1.0" encoding="utf-8"?>
<sst xmlns="http://schemas.openxmlformats.org/spreadsheetml/2006/main" count="606" uniqueCount="310">
  <si>
    <t>제 수 당</t>
  </si>
  <si>
    <t>관</t>
  </si>
  <si>
    <t>항</t>
  </si>
  <si>
    <t>목</t>
  </si>
  <si>
    <t>증감(B)-(A)</t>
  </si>
  <si>
    <t>액수</t>
  </si>
  <si>
    <t>비율(%)</t>
  </si>
  <si>
    <t>(단위 : 천원)</t>
  </si>
  <si>
    <t>세출총계</t>
  </si>
  <si>
    <t>수 용 비</t>
  </si>
  <si>
    <t>공공요금</t>
  </si>
  <si>
    <t>제세공과금</t>
  </si>
  <si>
    <t>자산취득비</t>
  </si>
  <si>
    <t>시설장비유지비</t>
  </si>
  <si>
    <t>(단위 :천원)</t>
  </si>
  <si>
    <t>여비교통비</t>
  </si>
  <si>
    <t>전    입   금</t>
  </si>
  <si>
    <t>전  입  금</t>
  </si>
  <si>
    <t xml:space="preserve"> </t>
  </si>
  <si>
    <t xml:space="preserve"> </t>
  </si>
  <si>
    <t>이월금</t>
  </si>
  <si>
    <t>세   입</t>
  </si>
  <si>
    <t>세   출</t>
  </si>
  <si>
    <t xml:space="preserve"> 세입, 세출 차인잔액 없음</t>
  </si>
  <si>
    <t>관</t>
  </si>
  <si>
    <t>항</t>
  </si>
  <si>
    <t>목</t>
  </si>
  <si>
    <t>증감(B)-(A)</t>
  </si>
  <si>
    <t>산     출     내     역</t>
  </si>
  <si>
    <t>액수</t>
  </si>
  <si>
    <t>비율(%)</t>
  </si>
  <si>
    <t>×</t>
  </si>
  <si>
    <t>월</t>
  </si>
  <si>
    <t>=</t>
  </si>
  <si>
    <t>(단위 : 천원)</t>
  </si>
  <si>
    <t>회</t>
  </si>
  <si>
    <t>재 산 조 성 비</t>
  </si>
  <si>
    <t>시   설   비</t>
  </si>
  <si>
    <t>자산취득비</t>
  </si>
  <si>
    <t>* 자산취득비 :</t>
  </si>
  <si>
    <t>시설장비유지비</t>
  </si>
  <si>
    <t>* 시설유지비</t>
  </si>
  <si>
    <t>사      업      비</t>
  </si>
  <si>
    <t>사   업   비</t>
  </si>
  <si>
    <t>전자도서
제작  및     
보급사업</t>
  </si>
  <si>
    <t>자원봉사자  관리사업</t>
  </si>
  <si>
    <t xml:space="preserve"> - 관 리 비</t>
  </si>
  <si>
    <t>컴퓨터활용    지원사업</t>
  </si>
  <si>
    <t>잡     지     출</t>
  </si>
  <si>
    <t>잡   지   출</t>
  </si>
  <si>
    <t>* 잡  지  출 :</t>
  </si>
  <si>
    <t>잡 지 출</t>
  </si>
  <si>
    <t xml:space="preserve"> - 잡 지 출</t>
  </si>
  <si>
    <t xml:space="preserve">* 예  비  비 : </t>
  </si>
  <si>
    <t>세입총계</t>
  </si>
  <si>
    <t>보조금수입</t>
  </si>
  <si>
    <t>* 보 조 금 수입 :</t>
  </si>
  <si>
    <t>* 보조금수입 :</t>
  </si>
  <si>
    <t>* 경상보조금 :</t>
  </si>
  <si>
    <t>전 입 금</t>
  </si>
  <si>
    <t>*  전 입 금</t>
  </si>
  <si>
    <t>과년도 수입</t>
  </si>
  <si>
    <t>이   월   금</t>
  </si>
  <si>
    <t>* 이 월 금</t>
  </si>
  <si>
    <t>이  월  금</t>
  </si>
  <si>
    <t>이 월 금</t>
  </si>
  <si>
    <t>잡   수   입</t>
  </si>
  <si>
    <t>* 잡  수  입 :</t>
  </si>
  <si>
    <t>잡  수  입</t>
  </si>
  <si>
    <t>* 잡 수 입 :</t>
  </si>
  <si>
    <t>잡 수 입</t>
  </si>
  <si>
    <t>세                    입</t>
  </si>
  <si>
    <t>세                    출</t>
  </si>
  <si>
    <t>세입총계</t>
  </si>
  <si>
    <t>보조금수입</t>
  </si>
  <si>
    <t>사  무  비</t>
  </si>
  <si>
    <t>인 건 비</t>
  </si>
  <si>
    <t>퇴직 및 적립금</t>
  </si>
  <si>
    <t>운 영 비</t>
  </si>
  <si>
    <t>과 년 도 수 입</t>
  </si>
  <si>
    <t>과년도수입</t>
  </si>
  <si>
    <t>이   월   금</t>
  </si>
  <si>
    <t>이  월  금</t>
  </si>
  <si>
    <t>재산조성비</t>
  </si>
  <si>
    <t>시 설 비</t>
  </si>
  <si>
    <t>잡   수   입</t>
  </si>
  <si>
    <t>잡  수  입</t>
  </si>
  <si>
    <t>사  업  비</t>
  </si>
  <si>
    <t>사 업 비</t>
  </si>
  <si>
    <t>전자도서제작</t>
  </si>
  <si>
    <t>자원봉사자관리</t>
  </si>
  <si>
    <t>컴퓨터활용</t>
  </si>
  <si>
    <t>[ 예    산    총    칙 ]</t>
  </si>
  <si>
    <t xml:space="preserve"> - 자원봉사자관리사업</t>
  </si>
  <si>
    <t>* 컴퓨터활용지원사업</t>
  </si>
  <si>
    <t>시 설 비</t>
  </si>
  <si>
    <t>사 업 비</t>
  </si>
  <si>
    <t>인터넷통신망관리</t>
  </si>
  <si>
    <t xml:space="preserve"> </t>
  </si>
  <si>
    <t xml:space="preserve"> </t>
  </si>
  <si>
    <t>-웹폴더자료이용</t>
  </si>
  <si>
    <t>세출총계</t>
  </si>
  <si>
    <t>사무비</t>
  </si>
  <si>
    <t xml:space="preserve"> </t>
  </si>
  <si>
    <t>인건비</t>
  </si>
  <si>
    <t>×</t>
  </si>
  <si>
    <t>월</t>
  </si>
  <si>
    <t>=</t>
  </si>
  <si>
    <t>* 기말수당 :</t>
  </si>
  <si>
    <t>%</t>
  </si>
  <si>
    <t>* 정근수당 :</t>
  </si>
  <si>
    <t>제 수 당</t>
  </si>
  <si>
    <t>* 제 수 당 :</t>
  </si>
  <si>
    <t>* 복지수당 :</t>
  </si>
  <si>
    <t>* 직무수당 :</t>
  </si>
  <si>
    <t>관</t>
  </si>
  <si>
    <t>항</t>
  </si>
  <si>
    <t>목</t>
  </si>
  <si>
    <t>증감(B)-(A)</t>
  </si>
  <si>
    <t>산     출     내     역</t>
  </si>
  <si>
    <t>액수</t>
  </si>
  <si>
    <t>비율(%)</t>
  </si>
  <si>
    <t>* 효도휴가/가계안정지원 :</t>
  </si>
  <si>
    <t>퇴직적립금</t>
  </si>
  <si>
    <t>*퇴직적립금 :</t>
  </si>
  <si>
    <t xml:space="preserve"> - 국민연금 :</t>
  </si>
  <si>
    <t xml:space="preserve"> - 고용보험 :</t>
  </si>
  <si>
    <t>운   영   비</t>
  </si>
  <si>
    <t>운영비</t>
  </si>
  <si>
    <t>여비교통비</t>
  </si>
  <si>
    <t xml:space="preserve">* 여비교통비 </t>
  </si>
  <si>
    <t>수용비및수수료</t>
  </si>
  <si>
    <t>* 수용비및 수수료</t>
  </si>
  <si>
    <t>공공요금</t>
  </si>
  <si>
    <t xml:space="preserve">* 공공요금 </t>
  </si>
  <si>
    <t xml:space="preserve"> - 전화요금</t>
  </si>
  <si>
    <t xml:space="preserve"> - 기타(난방유및우편요금등)</t>
  </si>
  <si>
    <t>제세공과금</t>
  </si>
  <si>
    <t>* 제세공과금 :</t>
  </si>
  <si>
    <t>/</t>
  </si>
  <si>
    <t>월</t>
  </si>
  <si>
    <t>=</t>
  </si>
  <si>
    <t>인터넷 통신망 관리사업</t>
  </si>
  <si>
    <t>송파시각장애인정보문화센터</t>
  </si>
  <si>
    <t>* 기타보조금 :</t>
  </si>
  <si>
    <t xml:space="preserve"> - 국민건강보험 :</t>
  </si>
  <si>
    <t xml:space="preserve"> - 산재보험 :</t>
  </si>
  <si>
    <t>직원교육   및 연수</t>
  </si>
  <si>
    <t xml:space="preserve">사회보험    부담금        </t>
  </si>
  <si>
    <t>월</t>
  </si>
  <si>
    <t>도서제작자료구입</t>
  </si>
  <si>
    <t xml:space="preserve"> - 신원보증증권가입비</t>
  </si>
  <si>
    <t xml:space="preserve"> - 사무용품비,인쇄비등</t>
  </si>
  <si>
    <t>장애인도서관육성지원</t>
  </si>
  <si>
    <t>-장애인도서관육성지원</t>
  </si>
  <si>
    <t xml:space="preserve"> - 기타수수료</t>
  </si>
  <si>
    <t xml:space="preserve"> - 구비예금이자</t>
  </si>
  <si>
    <t xml:space="preserve"> - 시비예금이자</t>
  </si>
  <si>
    <t xml:space="preserve"> - 잡수입</t>
  </si>
  <si>
    <t>컴퓨터업그레이드 및 프로그램구입</t>
  </si>
  <si>
    <t>* 교통비/급식비/가족수당</t>
  </si>
  <si>
    <t>- 시설유지비</t>
  </si>
  <si>
    <t xml:space="preserve"> - 4급(6호봉)</t>
  </si>
  <si>
    <t xml:space="preserve">- </t>
  </si>
  <si>
    <t xml:space="preserve"> - 대리(9호봉)</t>
  </si>
  <si>
    <t xml:space="preserve">* 가계보조 / 자격수당 </t>
  </si>
  <si>
    <t>* 연장근로수당</t>
  </si>
  <si>
    <t>×</t>
  </si>
  <si>
    <t>1/209</t>
  </si>
  <si>
    <t>1/209</t>
  </si>
  <si>
    <t>송파시각장애인정보문화센터 예산서</t>
  </si>
  <si>
    <t>기말수당</t>
  </si>
  <si>
    <t>정근수당</t>
  </si>
  <si>
    <t>직무수당</t>
  </si>
  <si>
    <t>교통비</t>
  </si>
  <si>
    <t>가족수당</t>
  </si>
  <si>
    <t>급식비</t>
  </si>
  <si>
    <t>연장근로수당</t>
  </si>
  <si>
    <t>국민연금</t>
  </si>
  <si>
    <t>고용보험</t>
  </si>
  <si>
    <t>홍보사업비</t>
  </si>
  <si>
    <t>자료제작묵자도서구입</t>
  </si>
  <si>
    <t>자료제작전용회선사용</t>
  </si>
  <si>
    <t>자료제작서버유지보수</t>
  </si>
  <si>
    <t>일반-공공요금-인터넷이용료</t>
  </si>
  <si>
    <t>일반-전산소모품(검정)</t>
  </si>
  <si>
    <t>일반-전산소모품(칼라)</t>
  </si>
  <si>
    <t>일반-연료비(난방용부탄가스)</t>
  </si>
  <si>
    <t>일반-우편요금</t>
  </si>
  <si>
    <t>일반-자원봉사책자인쇄</t>
  </si>
  <si>
    <t>일반-복사기임대료</t>
  </si>
  <si>
    <t>일반-화장지구입</t>
  </si>
  <si>
    <t>일반-복사용지구입</t>
  </si>
  <si>
    <t>일반-스티커점자용지</t>
  </si>
  <si>
    <t>일반-차류구입</t>
  </si>
  <si>
    <t>일반-전화요금</t>
  </si>
  <si>
    <t>*홍보사업비</t>
  </si>
  <si>
    <t>*종사자교육 및 포상</t>
  </si>
  <si>
    <t>홍보사업</t>
  </si>
  <si>
    <t xml:space="preserve"> 나호원 2013년 송파시각장애인정보문화센터 급여대장(공제1명-본인) </t>
  </si>
  <si>
    <t>연번</t>
  </si>
  <si>
    <t>직위</t>
  </si>
  <si>
    <t>이름</t>
  </si>
  <si>
    <t>호봉</t>
  </si>
  <si>
    <t>기본급</t>
  </si>
  <si>
    <t>상여금</t>
  </si>
  <si>
    <t>효도휴가/  가계안정비</t>
  </si>
  <si>
    <t>수          당</t>
  </si>
  <si>
    <t>지급총액</t>
  </si>
  <si>
    <t>공      제      액</t>
  </si>
  <si>
    <t>차인지급액</t>
  </si>
  <si>
    <t>가계보조/     자격수당</t>
  </si>
  <si>
    <t>복지수당</t>
  </si>
  <si>
    <t>건강보험</t>
  </si>
  <si>
    <t>노인장기요양보험</t>
  </si>
  <si>
    <t>갑근세</t>
  </si>
  <si>
    <t>주민세</t>
  </si>
  <si>
    <t>상조회비</t>
  </si>
  <si>
    <t>공제합계</t>
  </si>
  <si>
    <t xml:space="preserve"> 1월 </t>
  </si>
  <si>
    <t>사회복지사</t>
  </si>
  <si>
    <t xml:space="preserve"> 나호원 </t>
  </si>
  <si>
    <t xml:space="preserve"> - </t>
  </si>
  <si>
    <t xml:space="preserve"> 2월 </t>
  </si>
  <si>
    <t xml:space="preserve"> 3월 </t>
  </si>
  <si>
    <t xml:space="preserve"> 4월 </t>
  </si>
  <si>
    <t xml:space="preserve"> 5월 </t>
  </si>
  <si>
    <t xml:space="preserve"> 6월 </t>
  </si>
  <si>
    <t xml:space="preserve"> 7월 </t>
  </si>
  <si>
    <t xml:space="preserve"> 8월 </t>
  </si>
  <si>
    <t xml:space="preserve"> 9월 </t>
  </si>
  <si>
    <t xml:space="preserve"> 10월 </t>
  </si>
  <si>
    <t xml:space="preserve"> 11월 </t>
  </si>
  <si>
    <t>12월</t>
  </si>
  <si>
    <t xml:space="preserve"> 합      계 </t>
  </si>
  <si>
    <t xml:space="preserve"> 장경국 2013년 송파시각장애인정보문화센터 급여대장(공제1명-본인)  </t>
  </si>
  <si>
    <t>가계보조/    자격수당</t>
  </si>
  <si>
    <t>대리</t>
  </si>
  <si>
    <t xml:space="preserve"> 장경국 </t>
  </si>
  <si>
    <t xml:space="preserve"> 12월 </t>
  </si>
  <si>
    <t xml:space="preserve">  2013년 송파시각장애인정보문화센터 급여대장 </t>
  </si>
  <si>
    <t>2013년도(안)</t>
  </si>
  <si>
    <t xml:space="preserve">    제1조  2013년도 송파시각장애인정보문화센터  세입ㆍ세출 예산(안) 총액은</t>
  </si>
  <si>
    <t xml:space="preserve">    제2조 세입ㆍ세출 예산의 상세한 내용은 세입ㆍ세출 예산(안) 명세표와 같다. </t>
  </si>
  <si>
    <t>12년 예산(A)</t>
  </si>
  <si>
    <t>13년 예산(B)</t>
  </si>
  <si>
    <t>2013년 송파시각장애인정보문화센터 세입예산서(안)</t>
  </si>
  <si>
    <t>13년 예산(B)</t>
  </si>
  <si>
    <t>경상보조금수입</t>
  </si>
  <si>
    <t>시군구보조금-경상</t>
  </si>
  <si>
    <t>시군구보조금-육성지원</t>
  </si>
  <si>
    <t>시군구보조금-자본</t>
  </si>
  <si>
    <t>후원금수입</t>
  </si>
  <si>
    <t>법인전입금(후원금)</t>
  </si>
  <si>
    <t>전년도이월금</t>
  </si>
  <si>
    <t>기타예금이자및잡수입</t>
  </si>
  <si>
    <t>차입금</t>
  </si>
  <si>
    <t>기타차입금</t>
  </si>
  <si>
    <t>차  입  금</t>
  </si>
  <si>
    <t>* 차 입 금 :</t>
  </si>
  <si>
    <t>급여(상여금)</t>
  </si>
  <si>
    <t>급여(기본급)</t>
  </si>
  <si>
    <t>사회보험부담비용</t>
  </si>
  <si>
    <t>상환금-원금상환금</t>
  </si>
  <si>
    <t>예비비 및 기타</t>
  </si>
  <si>
    <t>반환금/예비비</t>
  </si>
  <si>
    <t>급여/상여금</t>
  </si>
  <si>
    <t>급여/기본급</t>
  </si>
  <si>
    <t>상    환    금</t>
  </si>
  <si>
    <t>상   환   금</t>
  </si>
  <si>
    <t>원금상환금</t>
  </si>
  <si>
    <t>* 상  환  금 :</t>
  </si>
  <si>
    <t xml:space="preserve"> - 원금상환금</t>
  </si>
  <si>
    <t>예비비 및 기타</t>
  </si>
  <si>
    <t>경상보조금</t>
  </si>
  <si>
    <t>시군구보조금-육성</t>
  </si>
  <si>
    <t>후원금수입</t>
  </si>
  <si>
    <t>*  비지정후원금</t>
  </si>
  <si>
    <t>이월금(시비1,564원/구비705원/자담 70,602원)</t>
  </si>
  <si>
    <t>독서지원사업</t>
  </si>
  <si>
    <t>* 시각장애인 및 장애아동 책읽어주기사업</t>
  </si>
  <si>
    <t xml:space="preserve">* 인터넷통신망관리사업 </t>
  </si>
  <si>
    <t xml:space="preserve">* 전자도서제작및보급사업  </t>
  </si>
  <si>
    <t>ㆍ전자도서제작(도서구입)</t>
  </si>
  <si>
    <t>ㆍ점자도서제작(점자제본스프링)</t>
  </si>
  <si>
    <t>구연동화진행비</t>
  </si>
  <si>
    <t xml:space="preserve"> - 사회복지사(7호봉)</t>
  </si>
  <si>
    <t xml:space="preserve"> - 대리(10호봉)</t>
  </si>
  <si>
    <t>* 급여/기본급</t>
  </si>
  <si>
    <t>* 급여/상여금</t>
  </si>
  <si>
    <t xml:space="preserve"> - 사회복지사(7호봉)</t>
  </si>
  <si>
    <t xml:space="preserve"> - 대리/사회복지사</t>
  </si>
  <si>
    <t xml:space="preserve"> - 대리109호봉)</t>
  </si>
  <si>
    <t>1,122,000원 × 10% × 12월</t>
  </si>
  <si>
    <t>1,346,000원 × 10% × 3월</t>
  </si>
  <si>
    <t>1,313,000원 × 10% × 9월</t>
  </si>
  <si>
    <t>*사회보험부담금 :</t>
  </si>
  <si>
    <t xml:space="preserve"> - 한국점자도서관협회비</t>
  </si>
  <si>
    <t>500원*1500명</t>
  </si>
  <si>
    <t>후원금모집방법</t>
  </si>
  <si>
    <t>신규자원봉사가입비</t>
  </si>
  <si>
    <t>1000*1000명</t>
  </si>
  <si>
    <t>자원봉사확인서발송</t>
  </si>
  <si>
    <t>500*500명</t>
  </si>
  <si>
    <t>도서관모금함활용</t>
  </si>
  <si>
    <t>도서관CM확보자-법인에서 도서관으로입금</t>
  </si>
  <si>
    <t>직원교육및연수포상</t>
  </si>
  <si>
    <t xml:space="preserve"> - 대리(9)/대리(10)/사회복지사(7)</t>
  </si>
  <si>
    <t xml:space="preserve"> - 대리(9,10호봉)</t>
  </si>
  <si>
    <t xml:space="preserve">          129,247,871원으로 한다.</t>
  </si>
</sst>
</file>

<file path=xl/styles.xml><?xml version="1.0" encoding="utf-8"?>
<styleSheet xmlns="http://schemas.openxmlformats.org/spreadsheetml/2006/main">
  <numFmts count="5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#,##0_ "/>
    <numFmt numFmtId="183" formatCode="#,##0.0_ "/>
    <numFmt numFmtId="184" formatCode="_-* #,##0.0_-;\-* #,##0.0_-;_-* &quot;-&quot;_-;_-@_-"/>
    <numFmt numFmtId="185" formatCode="_-* #,##0.00_-;\-* #,##0.00_-;_-* &quot;-&quot;_-;_-@_-"/>
    <numFmt numFmtId="186" formatCode="_-* #,##0.000_-;\-* #,##0.000_-;_-* &quot;-&quot;_-;_-@_-"/>
    <numFmt numFmtId="187" formatCode="#,##0.00_);[Red]\(#,##0.00\)"/>
    <numFmt numFmtId="188" formatCode="#,##0.000_);[Red]\(#,##0.000\)"/>
    <numFmt numFmtId="189" formatCode="#,##0.0_);[Red]\(#,##0.0\)"/>
    <numFmt numFmtId="190" formatCode="#,##0_);[Red]\(#,##0\)"/>
    <numFmt numFmtId="191" formatCode="0.0%"/>
    <numFmt numFmtId="192" formatCode="#,##0.00_ "/>
    <numFmt numFmtId="193" formatCode="#,##0.000_ "/>
    <numFmt numFmtId="194" formatCode="#,###,"/>
    <numFmt numFmtId="195" formatCode="0_);[Red]\(0\)"/>
    <numFmt numFmtId="196" formatCode="#,###,\ "/>
    <numFmt numFmtId="197" formatCode="#,###"/>
    <numFmt numFmtId="198" formatCode="#,###\-\1"/>
    <numFmt numFmtId="199" formatCode="&quot;₩&quot;#,##0"/>
    <numFmt numFmtId="200" formatCode="#,##0;[Red]#,##0"/>
    <numFmt numFmtId="201" formatCode="#,###."/>
    <numFmt numFmtId="202" formatCode="0;[Red]0"/>
    <numFmt numFmtId="203" formatCode="&quot;₩&quot;#,##0;[Red]&quot;₩&quot;#,##0"/>
    <numFmt numFmtId="204" formatCode="_-* #,##0.0_-;\-* #,##0.0_-;_-* &quot;-&quot;?_-;_-@_-"/>
    <numFmt numFmtId="205" formatCode="0.0_);[Red]\(0.0\)"/>
    <numFmt numFmtId="206" formatCode="#\ ?/2"/>
    <numFmt numFmtId="207" formatCode="#,##0.00_ ;[Red]\-#,##0.00\ "/>
    <numFmt numFmtId="208" formatCode="#,##0.0_ ;[Red]\-#,##0.0\ "/>
    <numFmt numFmtId="209" formatCode="0.00_);[Red]\(0.00\)"/>
    <numFmt numFmtId="210" formatCode="0_ "/>
    <numFmt numFmtId="211" formatCode="0.0_ "/>
    <numFmt numFmtId="212" formatCode="##,###,"/>
    <numFmt numFmtId="213" formatCode="[$-412]yyyy&quot;년&quot;\ m&quot;월&quot;\ d&quot;일&quot;\ dddd"/>
    <numFmt numFmtId="214" formatCode="[$-412]AM/PM\ h:mm:ss"/>
    <numFmt numFmtId="215" formatCode="000\-000"/>
    <numFmt numFmtId="216" formatCode="0.000%"/>
    <numFmt numFmtId="217" formatCode="##,###,###"/>
    <numFmt numFmtId="218" formatCode="##,###"/>
    <numFmt numFmtId="219" formatCode="00.0%"/>
    <numFmt numFmtId="220" formatCode="mm&quot;월&quot;\ dd&quot;일&quot;"/>
  </numFmts>
  <fonts count="64">
    <font>
      <sz val="11"/>
      <name val="돋움"/>
      <family val="3"/>
    </font>
    <font>
      <sz val="8"/>
      <name val="돋움"/>
      <family val="3"/>
    </font>
    <font>
      <sz val="11"/>
      <name val="HY견명조"/>
      <family val="1"/>
    </font>
    <font>
      <b/>
      <sz val="18"/>
      <name val="HY견명조"/>
      <family val="1"/>
    </font>
    <font>
      <sz val="16"/>
      <name val="돋움"/>
      <family val="3"/>
    </font>
    <font>
      <sz val="18"/>
      <name val="돋움"/>
      <family val="3"/>
    </font>
    <font>
      <sz val="10"/>
      <name val="돋움"/>
      <family val="3"/>
    </font>
    <font>
      <sz val="28"/>
      <name val="HY견명조"/>
      <family val="1"/>
    </font>
    <font>
      <sz val="16"/>
      <name val="HY견명조"/>
      <family val="1"/>
    </font>
    <font>
      <u val="single"/>
      <sz val="16"/>
      <name val="HY견명조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굴림체"/>
      <family val="3"/>
    </font>
    <font>
      <sz val="11"/>
      <name val="굴림체"/>
      <family val="3"/>
    </font>
    <font>
      <sz val="9"/>
      <name val="굴림체"/>
      <family val="3"/>
    </font>
    <font>
      <b/>
      <sz val="12"/>
      <name val="굴림체"/>
      <family val="3"/>
    </font>
    <font>
      <b/>
      <sz val="24"/>
      <name val="굴림체"/>
      <family val="3"/>
    </font>
    <font>
      <sz val="16"/>
      <name val="굴림체"/>
      <family val="3"/>
    </font>
    <font>
      <sz val="18"/>
      <name val="굴림체"/>
      <family val="3"/>
    </font>
    <font>
      <b/>
      <sz val="18"/>
      <name val="굴림체"/>
      <family val="3"/>
    </font>
    <font>
      <sz val="9"/>
      <name val="맑은 고딕"/>
      <family val="3"/>
    </font>
    <font>
      <sz val="9"/>
      <name val="08서울한강체 L"/>
      <family val="1"/>
    </font>
    <font>
      <b/>
      <sz val="14"/>
      <name val="굴림체"/>
      <family val="3"/>
    </font>
    <font>
      <b/>
      <sz val="6"/>
      <name val="굴림체"/>
      <family val="3"/>
    </font>
    <font>
      <sz val="5.5"/>
      <name val="굴림체"/>
      <family val="3"/>
    </font>
    <font>
      <sz val="5.2"/>
      <name val="굴림체"/>
      <family val="3"/>
    </font>
    <font>
      <sz val="6"/>
      <name val="굴림체"/>
      <family val="3"/>
    </font>
    <font>
      <sz val="5.8"/>
      <name val="굴림체"/>
      <family val="3"/>
    </font>
    <font>
      <sz val="5"/>
      <name val="굴림체"/>
      <family val="3"/>
    </font>
    <font>
      <sz val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31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0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1" fontId="5" fillId="0" borderId="0" xfId="48" applyFont="1" applyAlignment="1">
      <alignment horizontal="center" vertical="center"/>
    </xf>
    <xf numFmtId="41" fontId="6" fillId="0" borderId="0" xfId="48" applyFont="1" applyAlignment="1">
      <alignment horizontal="center" vertical="center"/>
    </xf>
    <xf numFmtId="184" fontId="6" fillId="0" borderId="0" xfId="48" applyNumberFormat="1" applyFont="1" applyAlignment="1">
      <alignment horizontal="center" vertical="center"/>
    </xf>
    <xf numFmtId="41" fontId="6" fillId="0" borderId="0" xfId="48" applyFont="1" applyAlignment="1">
      <alignment horizontal="right" vertical="center"/>
    </xf>
    <xf numFmtId="0" fontId="6" fillId="0" borderId="0" xfId="0" applyFont="1" applyBorder="1" applyAlignment="1">
      <alignment/>
    </xf>
    <xf numFmtId="41" fontId="0" fillId="0" borderId="0" xfId="48" applyFont="1" applyAlignment="1">
      <alignment horizontal="left" vertical="center"/>
    </xf>
    <xf numFmtId="41" fontId="6" fillId="0" borderId="0" xfId="48" applyFont="1" applyAlignment="1">
      <alignment horizontal="center" vertical="center" shrinkToFit="1"/>
    </xf>
    <xf numFmtId="184" fontId="6" fillId="0" borderId="0" xfId="48" applyNumberFormat="1" applyFont="1" applyAlignment="1">
      <alignment horizontal="center" vertical="center" shrinkToFit="1"/>
    </xf>
    <xf numFmtId="41" fontId="6" fillId="0" borderId="0" xfId="48" applyFont="1" applyAlignment="1">
      <alignment horizontal="right" vertical="center" shrinkToFit="1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41" fontId="12" fillId="33" borderId="11" xfId="48" applyFont="1" applyFill="1" applyBorder="1" applyAlignment="1">
      <alignment horizontal="center" vertical="center" shrinkToFit="1"/>
    </xf>
    <xf numFmtId="184" fontId="12" fillId="33" borderId="11" xfId="48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shrinkToFit="1"/>
    </xf>
    <xf numFmtId="0" fontId="12" fillId="34" borderId="13" xfId="0" applyFont="1" applyFill="1" applyBorder="1" applyAlignment="1">
      <alignment horizontal="left" vertical="center" shrinkToFit="1"/>
    </xf>
    <xf numFmtId="0" fontId="12" fillId="34" borderId="14" xfId="0" applyFont="1" applyFill="1" applyBorder="1" applyAlignment="1">
      <alignment shrinkToFit="1"/>
    </xf>
    <xf numFmtId="0" fontId="12" fillId="35" borderId="13" xfId="0" applyFont="1" applyFill="1" applyBorder="1" applyAlignment="1">
      <alignment horizontal="left" vertical="center" shrinkToFit="1"/>
    </xf>
    <xf numFmtId="0" fontId="12" fillId="35" borderId="14" xfId="0" applyFont="1" applyFill="1" applyBorder="1" applyAlignment="1">
      <alignment shrinkToFit="1"/>
    </xf>
    <xf numFmtId="41" fontId="12" fillId="0" borderId="15" xfId="48" applyFont="1" applyBorder="1" applyAlignment="1">
      <alignment horizontal="center" vertical="center" shrinkToFit="1"/>
    </xf>
    <xf numFmtId="41" fontId="12" fillId="36" borderId="16" xfId="48" applyFont="1" applyFill="1" applyBorder="1" applyAlignment="1">
      <alignment horizontal="right" vertical="center" shrinkToFit="1"/>
    </xf>
    <xf numFmtId="41" fontId="12" fillId="36" borderId="16" xfId="48" applyFont="1" applyFill="1" applyBorder="1" applyAlignment="1">
      <alignment horizontal="center" vertical="center" shrinkToFit="1"/>
    </xf>
    <xf numFmtId="41" fontId="12" fillId="36" borderId="17" xfId="48" applyFont="1" applyFill="1" applyBorder="1" applyAlignment="1">
      <alignment horizontal="right" vertical="center" shrinkToFit="1"/>
    </xf>
    <xf numFmtId="41" fontId="12" fillId="0" borderId="18" xfId="48" applyFont="1" applyBorder="1" applyAlignment="1">
      <alignment horizontal="center" vertical="center" shrinkToFit="1"/>
    </xf>
    <xf numFmtId="41" fontId="12" fillId="0" borderId="0" xfId="48" applyFont="1" applyFill="1" applyBorder="1" applyAlignment="1">
      <alignment horizontal="right" vertical="center" shrinkToFit="1"/>
    </xf>
    <xf numFmtId="41" fontId="12" fillId="0" borderId="0" xfId="48" applyFont="1" applyFill="1" applyBorder="1" applyAlignment="1">
      <alignment horizontal="center" vertical="center" shrinkToFit="1"/>
    </xf>
    <xf numFmtId="41" fontId="12" fillId="0" borderId="0" xfId="48" applyFont="1" applyFill="1" applyBorder="1" applyAlignment="1" quotePrefix="1">
      <alignment horizontal="center" vertical="center" shrinkToFit="1"/>
    </xf>
    <xf numFmtId="41" fontId="12" fillId="0" borderId="19" xfId="48" applyFont="1" applyFill="1" applyBorder="1" applyAlignment="1">
      <alignment horizontal="right" vertical="center" shrinkToFit="1"/>
    </xf>
    <xf numFmtId="41" fontId="12" fillId="36" borderId="0" xfId="48" applyFont="1" applyFill="1" applyBorder="1" applyAlignment="1">
      <alignment horizontal="right" vertical="center" shrinkToFit="1"/>
    </xf>
    <xf numFmtId="41" fontId="12" fillId="36" borderId="0" xfId="48" applyFont="1" applyFill="1" applyBorder="1" applyAlignment="1">
      <alignment horizontal="center" vertical="center" shrinkToFit="1"/>
    </xf>
    <xf numFmtId="41" fontId="12" fillId="36" borderId="19" xfId="48" applyFont="1" applyFill="1" applyBorder="1" applyAlignment="1">
      <alignment horizontal="right" vertical="center" shrinkToFit="1"/>
    </xf>
    <xf numFmtId="41" fontId="12" fillId="0" borderId="20" xfId="48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41" fontId="12" fillId="0" borderId="0" xfId="48" applyFont="1" applyBorder="1" applyAlignment="1">
      <alignment horizontal="center" vertical="center" shrinkToFit="1"/>
    </xf>
    <xf numFmtId="41" fontId="12" fillId="0" borderId="0" xfId="48" applyFont="1" applyBorder="1" applyAlignment="1">
      <alignment horizontal="right" vertical="center" shrinkToFit="1"/>
    </xf>
    <xf numFmtId="210" fontId="12" fillId="0" borderId="0" xfId="48" applyNumberFormat="1" applyFont="1" applyBorder="1" applyAlignment="1">
      <alignment horizontal="center" vertical="center" shrinkToFit="1"/>
    </xf>
    <xf numFmtId="41" fontId="12" fillId="0" borderId="0" xfId="48" applyFont="1" applyBorder="1" applyAlignment="1" quotePrefix="1">
      <alignment horizontal="center" vertical="center" shrinkToFit="1"/>
    </xf>
    <xf numFmtId="41" fontId="12" fillId="0" borderId="19" xfId="48" applyFont="1" applyBorder="1" applyAlignment="1">
      <alignment horizontal="right" vertical="center" shrinkToFit="1"/>
    </xf>
    <xf numFmtId="184" fontId="12" fillId="0" borderId="0" xfId="48" applyNumberFormat="1" applyFont="1" applyBorder="1" applyAlignment="1">
      <alignment horizontal="center" vertical="center" shrinkToFit="1"/>
    </xf>
    <xf numFmtId="185" fontId="12" fillId="0" borderId="0" xfId="48" applyNumberFormat="1" applyFont="1" applyBorder="1" applyAlignment="1">
      <alignment horizontal="center" vertical="center" shrinkToFit="1"/>
    </xf>
    <xf numFmtId="41" fontId="12" fillId="35" borderId="13" xfId="48" applyFont="1" applyFill="1" applyBorder="1" applyAlignment="1">
      <alignment horizontal="center" vertical="center" shrinkToFit="1"/>
    </xf>
    <xf numFmtId="41" fontId="12" fillId="35" borderId="14" xfId="48" applyFont="1" applyFill="1" applyBorder="1" applyAlignment="1">
      <alignment horizontal="right" vertical="center" shrinkToFit="1"/>
    </xf>
    <xf numFmtId="41" fontId="12" fillId="35" borderId="14" xfId="48" applyFont="1" applyFill="1" applyBorder="1" applyAlignment="1">
      <alignment horizontal="center" vertical="center" shrinkToFit="1"/>
    </xf>
    <xf numFmtId="41" fontId="12" fillId="35" borderId="21" xfId="48" applyFont="1" applyFill="1" applyBorder="1" applyAlignment="1">
      <alignment horizontal="right" vertical="center" shrinkToFit="1"/>
    </xf>
    <xf numFmtId="41" fontId="12" fillId="0" borderId="22" xfId="48" applyFont="1" applyBorder="1" applyAlignment="1">
      <alignment horizontal="center" vertical="center" shrinkToFit="1"/>
    </xf>
    <xf numFmtId="41" fontId="12" fillId="0" borderId="23" xfId="48" applyFont="1" applyBorder="1" applyAlignment="1">
      <alignment horizontal="center" vertical="center" shrinkToFit="1"/>
    </xf>
    <xf numFmtId="41" fontId="12" fillId="0" borderId="23" xfId="48" applyFont="1" applyBorder="1" applyAlignment="1" quotePrefix="1">
      <alignment horizontal="center" vertical="center" shrinkToFit="1"/>
    </xf>
    <xf numFmtId="41" fontId="12" fillId="0" borderId="24" xfId="48" applyFont="1" applyBorder="1" applyAlignment="1">
      <alignment horizontal="right" vertical="center" shrinkToFit="1"/>
    </xf>
    <xf numFmtId="41" fontId="12" fillId="0" borderId="16" xfId="48" applyFont="1" applyBorder="1" applyAlignment="1">
      <alignment horizontal="right" vertical="center" shrinkToFit="1"/>
    </xf>
    <xf numFmtId="41" fontId="12" fillId="0" borderId="16" xfId="48" applyFont="1" applyBorder="1" applyAlignment="1">
      <alignment horizontal="center" vertical="center" shrinkToFit="1"/>
    </xf>
    <xf numFmtId="41" fontId="12" fillId="0" borderId="17" xfId="48" applyFont="1" applyBorder="1" applyAlignment="1">
      <alignment horizontal="right" vertical="center" shrinkToFit="1"/>
    </xf>
    <xf numFmtId="41" fontId="12" fillId="0" borderId="24" xfId="48" applyFont="1" applyBorder="1" applyAlignment="1">
      <alignment horizontal="center" vertical="center" shrinkToFit="1"/>
    </xf>
    <xf numFmtId="41" fontId="12" fillId="0" borderId="25" xfId="48" applyFont="1" applyBorder="1" applyAlignment="1">
      <alignment horizontal="center" vertical="center" shrinkToFit="1"/>
    </xf>
    <xf numFmtId="41" fontId="12" fillId="0" borderId="25" xfId="48" applyFont="1" applyBorder="1" applyAlignment="1" quotePrefix="1">
      <alignment horizontal="center" vertical="center" shrinkToFit="1"/>
    </xf>
    <xf numFmtId="41" fontId="12" fillId="0" borderId="26" xfId="48" applyFont="1" applyBorder="1" applyAlignment="1">
      <alignment horizontal="right" vertical="center" shrinkToFit="1"/>
    </xf>
    <xf numFmtId="41" fontId="12" fillId="34" borderId="12" xfId="48" applyFont="1" applyFill="1" applyBorder="1" applyAlignment="1">
      <alignment horizontal="center" vertical="center" shrinkToFit="1"/>
    </xf>
    <xf numFmtId="41" fontId="12" fillId="34" borderId="27" xfId="48" applyFont="1" applyFill="1" applyBorder="1" applyAlignment="1">
      <alignment horizontal="center" vertical="center" shrinkToFit="1"/>
    </xf>
    <xf numFmtId="41" fontId="12" fillId="34" borderId="12" xfId="48" applyFont="1" applyFill="1" applyBorder="1" applyAlignment="1">
      <alignment horizontal="right" vertical="center" shrinkToFit="1"/>
    </xf>
    <xf numFmtId="41" fontId="12" fillId="34" borderId="28" xfId="48" applyFont="1" applyFill="1" applyBorder="1" applyAlignment="1">
      <alignment horizontal="right" vertical="center" shrinkToFit="1"/>
    </xf>
    <xf numFmtId="0" fontId="13" fillId="35" borderId="14" xfId="0" applyFont="1" applyFill="1" applyBorder="1" applyAlignment="1">
      <alignment vertical="center" shrinkToFit="1"/>
    </xf>
    <xf numFmtId="41" fontId="12" fillId="0" borderId="15" xfId="48" applyFont="1" applyBorder="1" applyAlignment="1">
      <alignment horizontal="center" vertical="center"/>
    </xf>
    <xf numFmtId="41" fontId="12" fillId="34" borderId="14" xfId="48" applyFont="1" applyFill="1" applyBorder="1" applyAlignment="1">
      <alignment horizontal="center" vertical="center" shrinkToFit="1"/>
    </xf>
    <xf numFmtId="41" fontId="12" fillId="34" borderId="13" xfId="48" applyFont="1" applyFill="1" applyBorder="1" applyAlignment="1">
      <alignment horizontal="center" vertical="center" shrinkToFit="1"/>
    </xf>
    <xf numFmtId="41" fontId="12" fillId="34" borderId="14" xfId="48" applyFont="1" applyFill="1" applyBorder="1" applyAlignment="1">
      <alignment horizontal="right" vertical="center" shrinkToFit="1"/>
    </xf>
    <xf numFmtId="41" fontId="12" fillId="34" borderId="21" xfId="48" applyFont="1" applyFill="1" applyBorder="1" applyAlignment="1">
      <alignment horizontal="right" vertical="center" shrinkToFit="1"/>
    </xf>
    <xf numFmtId="41" fontId="12" fillId="0" borderId="23" xfId="48" applyFont="1" applyBorder="1" applyAlignment="1">
      <alignment horizontal="right" vertical="center" shrinkToFit="1"/>
    </xf>
    <xf numFmtId="0" fontId="13" fillId="0" borderId="23" xfId="0" applyFont="1" applyBorder="1" applyAlignment="1">
      <alignment horizontal="left" vertical="center" shrinkToFit="1"/>
    </xf>
    <xf numFmtId="0" fontId="12" fillId="36" borderId="0" xfId="0" applyFont="1" applyFill="1" applyBorder="1" applyAlignment="1">
      <alignment vertical="center" shrinkToFit="1"/>
    </xf>
    <xf numFmtId="41" fontId="12" fillId="35" borderId="29" xfId="48" applyFont="1" applyFill="1" applyBorder="1" applyAlignment="1">
      <alignment horizontal="center" vertical="center" shrinkToFit="1"/>
    </xf>
    <xf numFmtId="41" fontId="12" fillId="35" borderId="16" xfId="48" applyFont="1" applyFill="1" applyBorder="1" applyAlignment="1">
      <alignment horizontal="right" vertical="center" shrinkToFit="1"/>
    </xf>
    <xf numFmtId="41" fontId="12" fillId="35" borderId="16" xfId="48" applyFont="1" applyFill="1" applyBorder="1" applyAlignment="1">
      <alignment horizontal="center" vertical="center" shrinkToFit="1"/>
    </xf>
    <xf numFmtId="41" fontId="12" fillId="35" borderId="17" xfId="48" applyFont="1" applyFill="1" applyBorder="1" applyAlignment="1">
      <alignment horizontal="right" vertical="center" shrinkToFit="1"/>
    </xf>
    <xf numFmtId="41" fontId="12" fillId="0" borderId="30" xfId="48" applyFont="1" applyBorder="1" applyAlignment="1">
      <alignment horizontal="center" vertical="center" shrinkToFit="1"/>
    </xf>
    <xf numFmtId="41" fontId="12" fillId="0" borderId="11" xfId="48" applyFont="1" applyBorder="1" applyAlignment="1">
      <alignment horizontal="center" vertical="center" shrinkToFit="1"/>
    </xf>
    <xf numFmtId="41" fontId="12" fillId="0" borderId="31" xfId="48" applyFont="1" applyBorder="1" applyAlignment="1">
      <alignment horizontal="center" vertical="center" shrinkToFit="1"/>
    </xf>
    <xf numFmtId="41" fontId="12" fillId="0" borderId="32" xfId="48" applyFont="1" applyBorder="1" applyAlignment="1">
      <alignment horizontal="right" vertical="center" shrinkToFit="1"/>
    </xf>
    <xf numFmtId="41" fontId="12" fillId="0" borderId="32" xfId="48" applyFont="1" applyBorder="1" applyAlignment="1">
      <alignment horizontal="center" vertical="center" shrinkToFit="1"/>
    </xf>
    <xf numFmtId="41" fontId="12" fillId="0" borderId="33" xfId="48" applyFont="1" applyBorder="1" applyAlignment="1">
      <alignment horizontal="right" vertical="center" shrinkToFit="1"/>
    </xf>
    <xf numFmtId="41" fontId="12" fillId="34" borderId="11" xfId="48" applyFont="1" applyFill="1" applyBorder="1" applyAlignment="1">
      <alignment horizontal="center" vertical="center"/>
    </xf>
    <xf numFmtId="184" fontId="12" fillId="34" borderId="11" xfId="48" applyNumberFormat="1" applyFont="1" applyFill="1" applyBorder="1" applyAlignment="1">
      <alignment horizontal="center" vertical="center"/>
    </xf>
    <xf numFmtId="182" fontId="12" fillId="37" borderId="34" xfId="0" applyNumberFormat="1" applyFont="1" applyFill="1" applyBorder="1" applyAlignment="1">
      <alignment horizontal="right" vertical="center"/>
    </xf>
    <xf numFmtId="182" fontId="12" fillId="37" borderId="34" xfId="0" applyNumberFormat="1" applyFont="1" applyFill="1" applyBorder="1" applyAlignment="1">
      <alignment vertical="center"/>
    </xf>
    <xf numFmtId="183" fontId="12" fillId="37" borderId="34" xfId="0" applyNumberFormat="1" applyFont="1" applyFill="1" applyBorder="1" applyAlignment="1">
      <alignment horizontal="right" vertical="center"/>
    </xf>
    <xf numFmtId="182" fontId="12" fillId="35" borderId="30" xfId="0" applyNumberFormat="1" applyFont="1" applyFill="1" applyBorder="1" applyAlignment="1">
      <alignment horizontal="right" vertical="center"/>
    </xf>
    <xf numFmtId="182" fontId="12" fillId="35" borderId="34" xfId="0" applyNumberFormat="1" applyFont="1" applyFill="1" applyBorder="1" applyAlignment="1">
      <alignment vertical="center"/>
    </xf>
    <xf numFmtId="183" fontId="12" fillId="35" borderId="34" xfId="0" applyNumberFormat="1" applyFont="1" applyFill="1" applyBorder="1" applyAlignment="1">
      <alignment horizontal="right" vertical="center"/>
    </xf>
    <xf numFmtId="41" fontId="12" fillId="35" borderId="35" xfId="48" applyFont="1" applyFill="1" applyBorder="1" applyAlignment="1">
      <alignment horizontal="center" vertical="center"/>
    </xf>
    <xf numFmtId="41" fontId="12" fillId="35" borderId="0" xfId="48" applyFont="1" applyFill="1" applyBorder="1" applyAlignment="1">
      <alignment horizontal="right" vertical="center"/>
    </xf>
    <xf numFmtId="41" fontId="12" fillId="35" borderId="0" xfId="48" applyFont="1" applyFill="1" applyBorder="1" applyAlignment="1">
      <alignment horizontal="center" vertical="center"/>
    </xf>
    <xf numFmtId="41" fontId="12" fillId="35" borderId="19" xfId="48" applyFont="1" applyFill="1" applyBorder="1" applyAlignment="1">
      <alignment horizontal="right" vertical="center"/>
    </xf>
    <xf numFmtId="41" fontId="12" fillId="0" borderId="36" xfId="48" applyFont="1" applyBorder="1" applyAlignment="1">
      <alignment horizontal="center" vertical="center"/>
    </xf>
    <xf numFmtId="182" fontId="12" fillId="36" borderId="15" xfId="0" applyNumberFormat="1" applyFont="1" applyFill="1" applyBorder="1" applyAlignment="1">
      <alignment horizontal="right" vertical="center"/>
    </xf>
    <xf numFmtId="182" fontId="12" fillId="36" borderId="18" xfId="0" applyNumberFormat="1" applyFont="1" applyFill="1" applyBorder="1" applyAlignment="1">
      <alignment vertical="center"/>
    </xf>
    <xf numFmtId="183" fontId="12" fillId="36" borderId="18" xfId="0" applyNumberFormat="1" applyFont="1" applyFill="1" applyBorder="1" applyAlignment="1">
      <alignment horizontal="right" vertical="center"/>
    </xf>
    <xf numFmtId="41" fontId="12" fillId="36" borderId="13" xfId="48" applyFont="1" applyFill="1" applyBorder="1" applyAlignment="1">
      <alignment horizontal="center" vertical="center"/>
    </xf>
    <xf numFmtId="41" fontId="12" fillId="36" borderId="14" xfId="48" applyFont="1" applyFill="1" applyBorder="1" applyAlignment="1">
      <alignment horizontal="right" vertical="center"/>
    </xf>
    <xf numFmtId="41" fontId="12" fillId="36" borderId="14" xfId="48" applyFont="1" applyFill="1" applyBorder="1" applyAlignment="1">
      <alignment horizontal="center" vertical="center"/>
    </xf>
    <xf numFmtId="41" fontId="12" fillId="36" borderId="21" xfId="48" applyFont="1" applyFill="1" applyBorder="1" applyAlignment="1">
      <alignment horizontal="right" vertical="center"/>
    </xf>
    <xf numFmtId="41" fontId="12" fillId="0" borderId="37" xfId="48" applyFont="1" applyBorder="1" applyAlignment="1">
      <alignment horizontal="center" vertical="center"/>
    </xf>
    <xf numFmtId="41" fontId="12" fillId="0" borderId="30" xfId="48" applyFont="1" applyBorder="1" applyAlignment="1">
      <alignment horizontal="center" vertical="center"/>
    </xf>
    <xf numFmtId="182" fontId="12" fillId="0" borderId="30" xfId="48" applyNumberFormat="1" applyFont="1" applyBorder="1" applyAlignment="1">
      <alignment horizontal="right" vertical="center"/>
    </xf>
    <xf numFmtId="182" fontId="12" fillId="0" borderId="30" xfId="0" applyNumberFormat="1" applyFont="1" applyBorder="1" applyAlignment="1">
      <alignment vertical="center"/>
    </xf>
    <xf numFmtId="183" fontId="12" fillId="0" borderId="30" xfId="0" applyNumberFormat="1" applyFont="1" applyBorder="1" applyAlignment="1">
      <alignment horizontal="right" vertical="center"/>
    </xf>
    <xf numFmtId="41" fontId="12" fillId="0" borderId="13" xfId="48" applyFont="1" applyBorder="1" applyAlignment="1">
      <alignment horizontal="center" vertical="center"/>
    </xf>
    <xf numFmtId="41" fontId="12" fillId="0" borderId="14" xfId="48" applyFont="1" applyBorder="1" applyAlignment="1">
      <alignment horizontal="right" vertical="center"/>
    </xf>
    <xf numFmtId="41" fontId="12" fillId="0" borderId="14" xfId="48" applyFont="1" applyBorder="1" applyAlignment="1">
      <alignment horizontal="center" vertical="center"/>
    </xf>
    <xf numFmtId="41" fontId="12" fillId="0" borderId="21" xfId="48" applyFont="1" applyBorder="1" applyAlignment="1">
      <alignment horizontal="right" vertical="center"/>
    </xf>
    <xf numFmtId="41" fontId="12" fillId="0" borderId="18" xfId="48" applyFont="1" applyBorder="1" applyAlignment="1">
      <alignment horizontal="center" vertical="center"/>
    </xf>
    <xf numFmtId="41" fontId="12" fillId="0" borderId="13" xfId="48" applyFont="1" applyBorder="1" applyAlignment="1">
      <alignment horizontal="center" vertical="center" shrinkToFit="1"/>
    </xf>
    <xf numFmtId="0" fontId="13" fillId="0" borderId="14" xfId="0" applyFont="1" applyBorder="1" applyAlignment="1">
      <alignment vertical="center" shrinkToFit="1"/>
    </xf>
    <xf numFmtId="41" fontId="12" fillId="0" borderId="34" xfId="48" applyFont="1" applyBorder="1" applyAlignment="1">
      <alignment horizontal="center" vertical="center"/>
    </xf>
    <xf numFmtId="182" fontId="12" fillId="0" borderId="34" xfId="48" applyNumberFormat="1" applyFont="1" applyBorder="1" applyAlignment="1">
      <alignment horizontal="right" vertical="center"/>
    </xf>
    <xf numFmtId="182" fontId="12" fillId="0" borderId="34" xfId="0" applyNumberFormat="1" applyFont="1" applyBorder="1" applyAlignment="1">
      <alignment vertical="center"/>
    </xf>
    <xf numFmtId="183" fontId="12" fillId="0" borderId="34" xfId="0" applyNumberFormat="1" applyFont="1" applyBorder="1" applyAlignment="1">
      <alignment horizontal="right" vertical="center"/>
    </xf>
    <xf numFmtId="41" fontId="12" fillId="0" borderId="0" xfId="48" applyFont="1" applyBorder="1" applyAlignment="1">
      <alignment horizontal="center" vertical="center"/>
    </xf>
    <xf numFmtId="41" fontId="12" fillId="0" borderId="0" xfId="48" applyFont="1" applyBorder="1" applyAlignment="1">
      <alignment horizontal="right" vertical="center"/>
    </xf>
    <xf numFmtId="41" fontId="12" fillId="0" borderId="19" xfId="48" applyFont="1" applyBorder="1" applyAlignment="1">
      <alignment horizontal="right" vertical="center"/>
    </xf>
    <xf numFmtId="41" fontId="12" fillId="35" borderId="13" xfId="48" applyFont="1" applyFill="1" applyBorder="1" applyAlignment="1">
      <alignment horizontal="center" vertical="center"/>
    </xf>
    <xf numFmtId="41" fontId="12" fillId="35" borderId="14" xfId="48" applyFont="1" applyFill="1" applyBorder="1" applyAlignment="1">
      <alignment horizontal="right" vertical="center"/>
    </xf>
    <xf numFmtId="41" fontId="12" fillId="35" borderId="14" xfId="48" applyFont="1" applyFill="1" applyBorder="1" applyAlignment="1">
      <alignment horizontal="center" vertical="center"/>
    </xf>
    <xf numFmtId="41" fontId="12" fillId="35" borderId="21" xfId="48" applyFont="1" applyFill="1" applyBorder="1" applyAlignment="1">
      <alignment horizontal="right" vertical="center"/>
    </xf>
    <xf numFmtId="182" fontId="12" fillId="36" borderId="30" xfId="0" applyNumberFormat="1" applyFont="1" applyFill="1" applyBorder="1" applyAlignment="1">
      <alignment horizontal="right" vertical="center"/>
    </xf>
    <xf numFmtId="182" fontId="12" fillId="36" borderId="34" xfId="0" applyNumberFormat="1" applyFont="1" applyFill="1" applyBorder="1" applyAlignment="1">
      <alignment vertical="center"/>
    </xf>
    <xf numFmtId="183" fontId="12" fillId="36" borderId="34" xfId="0" applyNumberFormat="1" applyFont="1" applyFill="1" applyBorder="1" applyAlignment="1">
      <alignment horizontal="right" vertical="center"/>
    </xf>
    <xf numFmtId="41" fontId="12" fillId="0" borderId="38" xfId="48" applyFont="1" applyBorder="1" applyAlignment="1">
      <alignment horizontal="center" vertical="center"/>
    </xf>
    <xf numFmtId="182" fontId="12" fillId="0" borderId="18" xfId="48" applyNumberFormat="1" applyFont="1" applyBorder="1" applyAlignment="1">
      <alignment horizontal="right" vertical="center"/>
    </xf>
    <xf numFmtId="41" fontId="12" fillId="0" borderId="35" xfId="48" applyFont="1" applyBorder="1" applyAlignment="1">
      <alignment horizontal="center" vertical="center"/>
    </xf>
    <xf numFmtId="41" fontId="12" fillId="0" borderId="14" xfId="48" applyFont="1" applyBorder="1" applyAlignment="1" quotePrefix="1">
      <alignment horizontal="center" vertical="center"/>
    </xf>
    <xf numFmtId="182" fontId="12" fillId="35" borderId="11" xfId="0" applyNumberFormat="1" applyFont="1" applyFill="1" applyBorder="1" applyAlignment="1">
      <alignment horizontal="right" vertical="center"/>
    </xf>
    <xf numFmtId="41" fontId="12" fillId="35" borderId="31" xfId="48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/>
    </xf>
    <xf numFmtId="3" fontId="12" fillId="35" borderId="33" xfId="0" applyNumberFormat="1" applyFont="1" applyFill="1" applyBorder="1" applyAlignment="1">
      <alignment/>
    </xf>
    <xf numFmtId="184" fontId="12" fillId="34" borderId="39" xfId="48" applyNumberFormat="1" applyFont="1" applyFill="1" applyBorder="1" applyAlignment="1">
      <alignment horizontal="center" vertical="center"/>
    </xf>
    <xf numFmtId="182" fontId="12" fillId="35" borderId="34" xfId="0" applyNumberFormat="1" applyFont="1" applyFill="1" applyBorder="1" applyAlignment="1">
      <alignment horizontal="right" vertical="center"/>
    </xf>
    <xf numFmtId="211" fontId="12" fillId="35" borderId="40" xfId="0" applyNumberFormat="1" applyFont="1" applyFill="1" applyBorder="1" applyAlignment="1">
      <alignment horizontal="right" vertical="center"/>
    </xf>
    <xf numFmtId="182" fontId="12" fillId="0" borderId="30" xfId="0" applyNumberFormat="1" applyFont="1" applyBorder="1" applyAlignment="1">
      <alignment horizontal="right" vertical="center"/>
    </xf>
    <xf numFmtId="182" fontId="12" fillId="0" borderId="34" xfId="0" applyNumberFormat="1" applyFont="1" applyBorder="1" applyAlignment="1">
      <alignment horizontal="right" vertical="center"/>
    </xf>
    <xf numFmtId="211" fontId="12" fillId="0" borderId="40" xfId="0" applyNumberFormat="1" applyFont="1" applyBorder="1" applyAlignment="1">
      <alignment horizontal="right" vertical="center"/>
    </xf>
    <xf numFmtId="0" fontId="13" fillId="0" borderId="41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182" fontId="13" fillId="0" borderId="30" xfId="0" applyNumberFormat="1" applyFont="1" applyBorder="1" applyAlignment="1">
      <alignment horizontal="right" vertical="center"/>
    </xf>
    <xf numFmtId="211" fontId="12" fillId="0" borderId="42" xfId="0" applyNumberFormat="1" applyFont="1" applyBorder="1" applyAlignment="1">
      <alignment horizontal="right" vertical="center"/>
    </xf>
    <xf numFmtId="182" fontId="12" fillId="0" borderId="30" xfId="48" applyNumberFormat="1" applyFont="1" applyBorder="1" applyAlignment="1">
      <alignment horizontal="right" vertical="center" shrinkToFit="1"/>
    </xf>
    <xf numFmtId="0" fontId="13" fillId="0" borderId="43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82" fontId="13" fillId="0" borderId="11" xfId="0" applyNumberFormat="1" applyFont="1" applyBorder="1" applyAlignment="1">
      <alignment horizontal="right" vertical="center"/>
    </xf>
    <xf numFmtId="182" fontId="12" fillId="0" borderId="11" xfId="0" applyNumberFormat="1" applyFont="1" applyBorder="1" applyAlignment="1">
      <alignment horizontal="right" vertical="center"/>
    </xf>
    <xf numFmtId="182" fontId="12" fillId="0" borderId="11" xfId="48" applyNumberFormat="1" applyFont="1" applyBorder="1" applyAlignment="1">
      <alignment horizontal="right" vertical="center" shrinkToFit="1"/>
    </xf>
    <xf numFmtId="211" fontId="12" fillId="0" borderId="39" xfId="0" applyNumberFormat="1" applyFont="1" applyBorder="1" applyAlignment="1">
      <alignment horizontal="right" vertical="center"/>
    </xf>
    <xf numFmtId="41" fontId="12" fillId="0" borderId="43" xfId="48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1" fontId="12" fillId="0" borderId="28" xfId="0" applyNumberFormat="1" applyFont="1" applyFill="1" applyBorder="1" applyAlignment="1">
      <alignment vertical="center" shrinkToFit="1"/>
    </xf>
    <xf numFmtId="41" fontId="12" fillId="34" borderId="21" xfId="0" applyNumberFormat="1" applyFont="1" applyFill="1" applyBorder="1" applyAlignment="1">
      <alignment vertical="center" shrinkToFit="1"/>
    </xf>
    <xf numFmtId="41" fontId="12" fillId="35" borderId="21" xfId="0" applyNumberFormat="1" applyFont="1" applyFill="1" applyBorder="1" applyAlignment="1">
      <alignment vertical="center" shrinkToFit="1"/>
    </xf>
    <xf numFmtId="41" fontId="12" fillId="38" borderId="0" xfId="48" applyFont="1" applyFill="1" applyBorder="1" applyAlignment="1">
      <alignment horizontal="right" vertical="center" shrinkToFit="1"/>
    </xf>
    <xf numFmtId="41" fontId="12" fillId="38" borderId="0" xfId="48" applyFont="1" applyFill="1" applyBorder="1" applyAlignment="1">
      <alignment horizontal="center" vertical="center" shrinkToFit="1"/>
    </xf>
    <xf numFmtId="41" fontId="12" fillId="38" borderId="19" xfId="48" applyFont="1" applyFill="1" applyBorder="1" applyAlignment="1">
      <alignment horizontal="right" vertical="center" shrinkToFit="1"/>
    </xf>
    <xf numFmtId="41" fontId="12" fillId="39" borderId="0" xfId="48" applyFont="1" applyFill="1" applyBorder="1" applyAlignment="1">
      <alignment horizontal="right" vertical="center" shrinkToFit="1"/>
    </xf>
    <xf numFmtId="41" fontId="12" fillId="39" borderId="0" xfId="48" applyFont="1" applyFill="1" applyBorder="1" applyAlignment="1">
      <alignment horizontal="center" vertical="center" shrinkToFit="1"/>
    </xf>
    <xf numFmtId="41" fontId="12" fillId="39" borderId="0" xfId="48" applyFont="1" applyFill="1" applyBorder="1" applyAlignment="1" quotePrefix="1">
      <alignment horizontal="center" vertical="center" shrinkToFit="1"/>
    </xf>
    <xf numFmtId="41" fontId="12" fillId="39" borderId="19" xfId="48" applyFont="1" applyFill="1" applyBorder="1" applyAlignment="1">
      <alignment horizontal="right" vertical="center" shrinkToFit="1"/>
    </xf>
    <xf numFmtId="41" fontId="12" fillId="36" borderId="19" xfId="0" applyNumberFormat="1" applyFont="1" applyFill="1" applyBorder="1" applyAlignment="1">
      <alignment vertical="center" shrinkToFit="1"/>
    </xf>
    <xf numFmtId="41" fontId="12" fillId="0" borderId="23" xfId="48" applyFont="1" applyFill="1" applyBorder="1" applyAlignment="1">
      <alignment horizontal="center" vertical="center" shrinkToFit="1"/>
    </xf>
    <xf numFmtId="41" fontId="0" fillId="0" borderId="0" xfId="0" applyNumberFormat="1" applyAlignment="1">
      <alignment/>
    </xf>
    <xf numFmtId="49" fontId="12" fillId="0" borderId="30" xfId="48" applyNumberFormat="1" applyFont="1" applyBorder="1" applyAlignment="1">
      <alignment horizontal="center" vertical="center" shrinkToFit="1"/>
    </xf>
    <xf numFmtId="3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12" fillId="0" borderId="0" xfId="48" applyNumberFormat="1" applyFont="1" applyBorder="1" applyAlignment="1">
      <alignment horizontal="center" vertical="center" shrinkToFit="1"/>
    </xf>
    <xf numFmtId="209" fontId="12" fillId="0" borderId="0" xfId="48" applyNumberFormat="1" applyFont="1" applyBorder="1" applyAlignment="1">
      <alignment horizontal="center" vertical="center" shrinkToFit="1"/>
    </xf>
    <xf numFmtId="182" fontId="12" fillId="36" borderId="44" xfId="0" applyNumberFormat="1" applyFont="1" applyFill="1" applyBorder="1" applyAlignment="1">
      <alignment vertical="center"/>
    </xf>
    <xf numFmtId="182" fontId="12" fillId="0" borderId="44" xfId="0" applyNumberFormat="1" applyFont="1" applyBorder="1" applyAlignment="1">
      <alignment vertical="center"/>
    </xf>
    <xf numFmtId="182" fontId="12" fillId="35" borderId="44" xfId="0" applyNumberFormat="1" applyFont="1" applyFill="1" applyBorder="1" applyAlignment="1">
      <alignment vertical="center"/>
    </xf>
    <xf numFmtId="41" fontId="12" fillId="35" borderId="38" xfId="48" applyFont="1" applyFill="1" applyBorder="1" applyAlignment="1">
      <alignment horizontal="right" vertical="center"/>
    </xf>
    <xf numFmtId="41" fontId="12" fillId="35" borderId="30" xfId="48" applyFont="1" applyFill="1" applyBorder="1" applyAlignment="1">
      <alignment horizontal="right" vertical="center"/>
    </xf>
    <xf numFmtId="41" fontId="12" fillId="0" borderId="34" xfId="48" applyFont="1" applyBorder="1" applyAlignment="1">
      <alignment horizontal="center" vertical="center" shrinkToFit="1"/>
    </xf>
    <xf numFmtId="41" fontId="0" fillId="0" borderId="0" xfId="48" applyFont="1" applyAlignment="1">
      <alignment/>
    </xf>
    <xf numFmtId="0" fontId="13" fillId="36" borderId="16" xfId="0" applyFont="1" applyFill="1" applyBorder="1" applyAlignment="1">
      <alignment/>
    </xf>
    <xf numFmtId="41" fontId="12" fillId="36" borderId="16" xfId="48" applyFont="1" applyFill="1" applyBorder="1" applyAlignment="1" quotePrefix="1">
      <alignment horizontal="center" vertical="center" shrinkToFit="1"/>
    </xf>
    <xf numFmtId="3" fontId="13" fillId="0" borderId="0" xfId="0" applyNumberFormat="1" applyFont="1" applyAlignment="1">
      <alignment/>
    </xf>
    <xf numFmtId="41" fontId="13" fillId="0" borderId="0" xfId="0" applyNumberFormat="1" applyFont="1" applyAlignment="1">
      <alignment/>
    </xf>
    <xf numFmtId="41" fontId="12" fillId="34" borderId="24" xfId="48" applyFont="1" applyFill="1" applyBorder="1" applyAlignment="1">
      <alignment horizontal="right" vertical="center" shrinkToFit="1"/>
    </xf>
    <xf numFmtId="41" fontId="12" fillId="0" borderId="25" xfId="48" applyFont="1" applyFill="1" applyBorder="1" applyAlignment="1" quotePrefix="1">
      <alignment horizontal="center" vertical="center" shrinkToFit="1"/>
    </xf>
    <xf numFmtId="41" fontId="12" fillId="0" borderId="26" xfId="48" applyFont="1" applyFill="1" applyBorder="1" applyAlignment="1">
      <alignment horizontal="right" vertical="center" shrinkToFit="1"/>
    </xf>
    <xf numFmtId="41" fontId="12" fillId="0" borderId="22" xfId="48" applyFont="1" applyBorder="1" applyAlignment="1" quotePrefix="1">
      <alignment horizontal="left" vertical="center" shrinkToFit="1"/>
    </xf>
    <xf numFmtId="0" fontId="12" fillId="0" borderId="0" xfId="0" applyFont="1" applyBorder="1" applyAlignment="1">
      <alignment horizontal="center" vertical="center"/>
    </xf>
    <xf numFmtId="41" fontId="12" fillId="0" borderId="14" xfId="48" applyFont="1" applyBorder="1" applyAlignment="1">
      <alignment horizontal="right" vertical="center" shrinkToFit="1"/>
    </xf>
    <xf numFmtId="41" fontId="12" fillId="0" borderId="14" xfId="48" applyFont="1" applyBorder="1" applyAlignment="1">
      <alignment horizontal="center" vertical="center" shrinkToFit="1"/>
    </xf>
    <xf numFmtId="41" fontId="12" fillId="0" borderId="21" xfId="48" applyFont="1" applyBorder="1" applyAlignment="1">
      <alignment horizontal="right" vertical="center" shrinkToFit="1"/>
    </xf>
    <xf numFmtId="41" fontId="12" fillId="0" borderId="27" xfId="48" applyFont="1" applyFill="1" applyBorder="1" applyAlignment="1">
      <alignment horizontal="left" vertical="center" shrinkToFit="1"/>
    </xf>
    <xf numFmtId="41" fontId="12" fillId="0" borderId="12" xfId="0" applyNumberFormat="1" applyFont="1" applyFill="1" applyBorder="1" applyAlignment="1">
      <alignment shrinkToFit="1"/>
    </xf>
    <xf numFmtId="41" fontId="12" fillId="0" borderId="35" xfId="48" applyFont="1" applyBorder="1" applyAlignment="1" quotePrefix="1">
      <alignment horizontal="left" vertical="center" shrinkToFit="1"/>
    </xf>
    <xf numFmtId="41" fontId="12" fillId="0" borderId="35" xfId="48" applyFont="1" applyBorder="1" applyAlignment="1">
      <alignment horizontal="left" vertical="center" shrinkToFit="1"/>
    </xf>
    <xf numFmtId="41" fontId="12" fillId="0" borderId="45" xfId="48" applyFont="1" applyBorder="1" applyAlignment="1">
      <alignment horizontal="left" vertical="center" shrinkToFit="1"/>
    </xf>
    <xf numFmtId="41" fontId="12" fillId="36" borderId="29" xfId="48" applyFont="1" applyFill="1" applyBorder="1" applyAlignment="1">
      <alignment horizontal="left" vertical="center" shrinkToFit="1"/>
    </xf>
    <xf numFmtId="41" fontId="12" fillId="0" borderId="22" xfId="48" applyFont="1" applyBorder="1" applyAlignment="1">
      <alignment horizontal="left" vertical="center" shrinkToFit="1"/>
    </xf>
    <xf numFmtId="41" fontId="12" fillId="39" borderId="35" xfId="48" applyFont="1" applyFill="1" applyBorder="1" applyAlignment="1">
      <alignment horizontal="left" vertical="center" shrinkToFit="1"/>
    </xf>
    <xf numFmtId="41" fontId="12" fillId="0" borderId="35" xfId="48" applyFont="1" applyFill="1" applyBorder="1" applyAlignment="1">
      <alignment horizontal="left" vertical="center" shrinkToFit="1"/>
    </xf>
    <xf numFmtId="41" fontId="12" fillId="36" borderId="16" xfId="48" applyFont="1" applyFill="1" applyBorder="1" applyAlignment="1">
      <alignment horizontal="left" vertical="center" shrinkToFit="1"/>
    </xf>
    <xf numFmtId="41" fontId="12" fillId="39" borderId="0" xfId="48" applyFont="1" applyFill="1" applyBorder="1" applyAlignment="1">
      <alignment horizontal="left" vertical="center" shrinkToFit="1"/>
    </xf>
    <xf numFmtId="41" fontId="12" fillId="0" borderId="0" xfId="48" applyFont="1" applyFill="1" applyBorder="1" applyAlignment="1">
      <alignment horizontal="left" vertical="center" shrinkToFit="1"/>
    </xf>
    <xf numFmtId="41" fontId="12" fillId="34" borderId="13" xfId="48" applyFont="1" applyFill="1" applyBorder="1" applyAlignment="1">
      <alignment horizontal="left" vertical="center" shrinkToFit="1"/>
    </xf>
    <xf numFmtId="41" fontId="12" fillId="35" borderId="13" xfId="48" applyFont="1" applyFill="1" applyBorder="1" applyAlignment="1">
      <alignment horizontal="left" vertical="center" shrinkToFit="1"/>
    </xf>
    <xf numFmtId="41" fontId="12" fillId="36" borderId="35" xfId="48" applyFont="1" applyFill="1" applyBorder="1" applyAlignment="1">
      <alignment horizontal="left" vertical="center" shrinkToFit="1"/>
    </xf>
    <xf numFmtId="0" fontId="12" fillId="0" borderId="23" xfId="0" applyFont="1" applyFill="1" applyBorder="1" applyAlignment="1">
      <alignment vertical="center" shrinkToFit="1"/>
    </xf>
    <xf numFmtId="182" fontId="12" fillId="0" borderId="24" xfId="0" applyNumberFormat="1" applyFont="1" applyFill="1" applyBorder="1" applyAlignment="1">
      <alignment vertical="center" shrinkToFit="1"/>
    </xf>
    <xf numFmtId="41" fontId="12" fillId="0" borderId="13" xfId="48" applyFont="1" applyBorder="1" applyAlignment="1">
      <alignment horizontal="left" vertical="center" shrinkToFit="1"/>
    </xf>
    <xf numFmtId="0" fontId="13" fillId="0" borderId="16" xfId="0" applyFont="1" applyBorder="1" applyAlignment="1">
      <alignment vertical="center" shrinkToFit="1"/>
    </xf>
    <xf numFmtId="41" fontId="12" fillId="0" borderId="16" xfId="48" applyFont="1" applyBorder="1" applyAlignment="1">
      <alignment horizontal="center" vertical="center"/>
    </xf>
    <xf numFmtId="41" fontId="12" fillId="0" borderId="16" xfId="48" applyFont="1" applyBorder="1" applyAlignment="1" quotePrefix="1">
      <alignment horizontal="center" vertical="center"/>
    </xf>
    <xf numFmtId="41" fontId="12" fillId="0" borderId="17" xfId="48" applyFont="1" applyBorder="1" applyAlignment="1">
      <alignment horizontal="right" vertical="center"/>
    </xf>
    <xf numFmtId="182" fontId="12" fillId="35" borderId="11" xfId="0" applyNumberFormat="1" applyFont="1" applyFill="1" applyBorder="1" applyAlignment="1">
      <alignment vertical="center"/>
    </xf>
    <xf numFmtId="183" fontId="12" fillId="35" borderId="11" xfId="0" applyNumberFormat="1" applyFont="1" applyFill="1" applyBorder="1" applyAlignment="1">
      <alignment horizontal="right" vertical="center"/>
    </xf>
    <xf numFmtId="41" fontId="12" fillId="0" borderId="46" xfId="48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182" fontId="12" fillId="0" borderId="19" xfId="0" applyNumberFormat="1" applyFont="1" applyFill="1" applyBorder="1" applyAlignment="1">
      <alignment vertical="center" shrinkToFit="1"/>
    </xf>
    <xf numFmtId="41" fontId="12" fillId="0" borderId="23" xfId="48" applyFont="1" applyFill="1" applyBorder="1" applyAlignment="1">
      <alignment horizontal="right" vertical="center" shrinkToFit="1"/>
    </xf>
    <xf numFmtId="0" fontId="12" fillId="0" borderId="35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12" fillId="40" borderId="29" xfId="0" applyFont="1" applyFill="1" applyBorder="1" applyAlignment="1" quotePrefix="1">
      <alignment vertical="center" shrinkToFit="1"/>
    </xf>
    <xf numFmtId="0" fontId="12" fillId="40" borderId="0" xfId="0" applyFont="1" applyFill="1" applyBorder="1" applyAlignment="1">
      <alignment vertical="center" shrinkToFit="1"/>
    </xf>
    <xf numFmtId="182" fontId="12" fillId="40" borderId="19" xfId="0" applyNumberFormat="1" applyFont="1" applyFill="1" applyBorder="1" applyAlignment="1">
      <alignment vertical="center" shrinkToFit="1"/>
    </xf>
    <xf numFmtId="212" fontId="12" fillId="35" borderId="30" xfId="0" applyNumberFormat="1" applyFont="1" applyFill="1" applyBorder="1" applyAlignment="1">
      <alignment vertical="center" shrinkToFit="1"/>
    </xf>
    <xf numFmtId="212" fontId="12" fillId="34" borderId="30" xfId="0" applyNumberFormat="1" applyFont="1" applyFill="1" applyBorder="1" applyAlignment="1">
      <alignment vertical="center" shrinkToFit="1"/>
    </xf>
    <xf numFmtId="212" fontId="12" fillId="0" borderId="47" xfId="0" applyNumberFormat="1" applyFont="1" applyBorder="1" applyAlignment="1">
      <alignment vertical="center" shrinkToFit="1"/>
    </xf>
    <xf numFmtId="212" fontId="12" fillId="35" borderId="30" xfId="48" applyNumberFormat="1" applyFont="1" applyFill="1" applyBorder="1" applyAlignment="1">
      <alignment horizontal="center" vertical="center" shrinkToFit="1"/>
    </xf>
    <xf numFmtId="212" fontId="13" fillId="0" borderId="0" xfId="0" applyNumberFormat="1" applyFont="1" applyBorder="1" applyAlignment="1">
      <alignment horizontal="center" vertical="center" shrinkToFit="1"/>
    </xf>
    <xf numFmtId="212" fontId="12" fillId="33" borderId="11" xfId="48" applyNumberFormat="1" applyFont="1" applyFill="1" applyBorder="1" applyAlignment="1">
      <alignment horizontal="center" vertical="center" shrinkToFit="1"/>
    </xf>
    <xf numFmtId="211" fontId="12" fillId="0" borderId="47" xfId="0" applyNumberFormat="1" applyFont="1" applyBorder="1" applyAlignment="1">
      <alignment vertical="center" shrinkToFit="1"/>
    </xf>
    <xf numFmtId="211" fontId="12" fillId="34" borderId="30" xfId="0" applyNumberFormat="1" applyFont="1" applyFill="1" applyBorder="1" applyAlignment="1">
      <alignment vertical="center" shrinkToFit="1"/>
    </xf>
    <xf numFmtId="211" fontId="12" fillId="35" borderId="30" xfId="0" applyNumberFormat="1" applyFont="1" applyFill="1" applyBorder="1" applyAlignment="1">
      <alignment vertical="center" shrinkToFit="1"/>
    </xf>
    <xf numFmtId="211" fontId="12" fillId="0" borderId="15" xfId="48" applyNumberFormat="1" applyFont="1" applyBorder="1" applyAlignment="1">
      <alignment horizontal="right" vertical="center" shrinkToFit="1"/>
    </xf>
    <xf numFmtId="212" fontId="12" fillId="0" borderId="15" xfId="48" applyNumberFormat="1" applyFont="1" applyBorder="1" applyAlignment="1">
      <alignment horizontal="right" vertical="center" shrinkToFit="1"/>
    </xf>
    <xf numFmtId="211" fontId="12" fillId="35" borderId="30" xfId="48" applyNumberFormat="1" applyFont="1" applyFill="1" applyBorder="1" applyAlignment="1">
      <alignment horizontal="right" vertical="center" shrinkToFit="1"/>
    </xf>
    <xf numFmtId="212" fontId="12" fillId="34" borderId="47" xfId="48" applyNumberFormat="1" applyFont="1" applyFill="1" applyBorder="1" applyAlignment="1">
      <alignment horizontal="right" vertical="center" shrinkToFit="1"/>
    </xf>
    <xf numFmtId="212" fontId="12" fillId="35" borderId="30" xfId="48" applyNumberFormat="1" applyFont="1" applyFill="1" applyBorder="1" applyAlignment="1">
      <alignment horizontal="right" vertical="center" shrinkToFit="1"/>
    </xf>
    <xf numFmtId="212" fontId="12" fillId="34" borderId="30" xfId="48" applyNumberFormat="1" applyFont="1" applyFill="1" applyBorder="1" applyAlignment="1">
      <alignment horizontal="right" vertical="center" shrinkToFit="1"/>
    </xf>
    <xf numFmtId="211" fontId="12" fillId="34" borderId="47" xfId="48" applyNumberFormat="1" applyFont="1" applyFill="1" applyBorder="1" applyAlignment="1">
      <alignment horizontal="right" vertical="center" shrinkToFit="1"/>
    </xf>
    <xf numFmtId="211" fontId="12" fillId="34" borderId="30" xfId="48" applyNumberFormat="1" applyFont="1" applyFill="1" applyBorder="1" applyAlignment="1">
      <alignment horizontal="right" vertical="center" shrinkToFit="1"/>
    </xf>
    <xf numFmtId="212" fontId="12" fillId="0" borderId="30" xfId="48" applyNumberFormat="1" applyFont="1" applyBorder="1" applyAlignment="1">
      <alignment horizontal="right" vertical="center" shrinkToFit="1"/>
    </xf>
    <xf numFmtId="212" fontId="12" fillId="34" borderId="34" xfId="48" applyNumberFormat="1" applyFont="1" applyFill="1" applyBorder="1" applyAlignment="1">
      <alignment horizontal="right" vertical="center" shrinkToFit="1"/>
    </xf>
    <xf numFmtId="212" fontId="12" fillId="0" borderId="11" xfId="48" applyNumberFormat="1" applyFont="1" applyBorder="1" applyAlignment="1">
      <alignment horizontal="right" vertical="center" shrinkToFit="1"/>
    </xf>
    <xf numFmtId="211" fontId="12" fillId="0" borderId="11" xfId="48" applyNumberFormat="1" applyFont="1" applyBorder="1" applyAlignment="1">
      <alignment horizontal="right" vertical="center" shrinkToFit="1"/>
    </xf>
    <xf numFmtId="212" fontId="12" fillId="35" borderId="34" xfId="0" applyNumberFormat="1" applyFont="1" applyFill="1" applyBorder="1" applyAlignment="1">
      <alignment vertical="center"/>
    </xf>
    <xf numFmtId="212" fontId="12" fillId="0" borderId="30" xfId="0" applyNumberFormat="1" applyFont="1" applyBorder="1" applyAlignment="1">
      <alignment vertical="center"/>
    </xf>
    <xf numFmtId="212" fontId="12" fillId="0" borderId="34" xfId="0" applyNumberFormat="1" applyFont="1" applyBorder="1" applyAlignment="1">
      <alignment vertical="center"/>
    </xf>
    <xf numFmtId="212" fontId="12" fillId="0" borderId="18" xfId="48" applyNumberFormat="1" applyFont="1" applyBorder="1" applyAlignment="1">
      <alignment horizontal="right" vertical="center"/>
    </xf>
    <xf numFmtId="212" fontId="12" fillId="0" borderId="30" xfId="48" applyNumberFormat="1" applyFont="1" applyBorder="1" applyAlignment="1">
      <alignment horizontal="right" vertical="center"/>
    </xf>
    <xf numFmtId="212" fontId="12" fillId="0" borderId="34" xfId="48" applyNumberFormat="1" applyFont="1" applyBorder="1" applyAlignment="1">
      <alignment vertical="center"/>
    </xf>
    <xf numFmtId="212" fontId="12" fillId="0" borderId="30" xfId="48" applyNumberFormat="1" applyFont="1" applyBorder="1" applyAlignment="1">
      <alignment vertical="center"/>
    </xf>
    <xf numFmtId="212" fontId="12" fillId="0" borderId="11" xfId="0" applyNumberFormat="1" applyFont="1" applyBorder="1" applyAlignment="1">
      <alignment vertical="center"/>
    </xf>
    <xf numFmtId="41" fontId="12" fillId="0" borderId="22" xfId="48" applyFont="1" applyFill="1" applyBorder="1" applyAlignment="1">
      <alignment horizontal="left" vertical="center" shrinkToFit="1"/>
    </xf>
    <xf numFmtId="41" fontId="12" fillId="0" borderId="45" xfId="48" applyFont="1" applyFill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0" xfId="48" applyNumberFormat="1" applyFont="1" applyBorder="1" applyAlignment="1">
      <alignment horizontal="center" vertical="center" shrinkToFit="1"/>
    </xf>
    <xf numFmtId="0" fontId="21" fillId="0" borderId="0" xfId="0" applyFont="1" applyAlignment="1">
      <alignment horizontal="center"/>
    </xf>
    <xf numFmtId="41" fontId="21" fillId="0" borderId="0" xfId="48" applyFont="1" applyAlignment="1">
      <alignment horizontal="center"/>
    </xf>
    <xf numFmtId="43" fontId="21" fillId="0" borderId="0" xfId="0" applyNumberFormat="1" applyFont="1" applyAlignment="1">
      <alignment horizontal="center"/>
    </xf>
    <xf numFmtId="0" fontId="12" fillId="0" borderId="22" xfId="0" applyFont="1" applyFill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41" fontId="12" fillId="0" borderId="35" xfId="48" applyFont="1" applyBorder="1" applyAlignment="1">
      <alignment horizontal="center" vertical="center" shrinkToFit="1"/>
    </xf>
    <xf numFmtId="0" fontId="0" fillId="0" borderId="34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212" fontId="12" fillId="0" borderId="20" xfId="48" applyNumberFormat="1" applyFont="1" applyFill="1" applyBorder="1" applyAlignment="1">
      <alignment horizontal="right" vertical="center" shrinkToFit="1"/>
    </xf>
    <xf numFmtId="41" fontId="12" fillId="0" borderId="38" xfId="48" applyFont="1" applyBorder="1" applyAlignment="1">
      <alignment horizontal="center" vertical="center" shrinkToFit="1"/>
    </xf>
    <xf numFmtId="41" fontId="22" fillId="0" borderId="0" xfId="48" applyFont="1" applyBorder="1" applyAlignment="1">
      <alignment horizontal="center"/>
    </xf>
    <xf numFmtId="0" fontId="0" fillId="0" borderId="0" xfId="0" applyFont="1" applyAlignment="1">
      <alignment/>
    </xf>
    <xf numFmtId="41" fontId="23" fillId="0" borderId="0" xfId="48" applyFont="1" applyBorder="1" applyAlignment="1">
      <alignment horizontal="center"/>
    </xf>
    <xf numFmtId="41" fontId="24" fillId="0" borderId="10" xfId="48" applyFont="1" applyBorder="1" applyAlignment="1">
      <alignment horizontal="center" vertical="center"/>
    </xf>
    <xf numFmtId="41" fontId="24" fillId="0" borderId="10" xfId="48" applyFont="1" applyBorder="1" applyAlignment="1">
      <alignment horizontal="center" vertical="center" wrapText="1"/>
    </xf>
    <xf numFmtId="41" fontId="24" fillId="0" borderId="10" xfId="48" applyFont="1" applyBorder="1" applyAlignment="1">
      <alignment horizontal="center" vertical="center" shrinkToFit="1"/>
    </xf>
    <xf numFmtId="41" fontId="26" fillId="0" borderId="10" xfId="48" applyFont="1" applyBorder="1" applyAlignment="1">
      <alignment vertical="center" shrinkToFit="1"/>
    </xf>
    <xf numFmtId="41" fontId="26" fillId="0" borderId="48" xfId="48" applyFont="1" applyBorder="1" applyAlignment="1">
      <alignment horizontal="center" vertical="center" shrinkToFit="1"/>
    </xf>
    <xf numFmtId="41" fontId="27" fillId="0" borderId="10" xfId="48" applyFont="1" applyBorder="1" applyAlignment="1">
      <alignment vertical="center" shrinkToFit="1"/>
    </xf>
    <xf numFmtId="41" fontId="24" fillId="0" borderId="49" xfId="48" applyFont="1" applyBorder="1" applyAlignment="1">
      <alignment horizontal="center" vertical="center" shrinkToFit="1"/>
    </xf>
    <xf numFmtId="41" fontId="13" fillId="0" borderId="0" xfId="48" applyFont="1" applyAlignment="1">
      <alignment/>
    </xf>
    <xf numFmtId="41" fontId="26" fillId="0" borderId="0" xfId="48" applyFont="1" applyAlignment="1">
      <alignment/>
    </xf>
    <xf numFmtId="41" fontId="26" fillId="0" borderId="50" xfId="48" applyFont="1" applyBorder="1" applyAlignment="1">
      <alignment horizontal="center" vertical="center" shrinkToFit="1"/>
    </xf>
    <xf numFmtId="41" fontId="26" fillId="0" borderId="49" xfId="48" applyFont="1" applyBorder="1" applyAlignment="1">
      <alignment horizontal="right" vertical="center" textRotation="255" shrinkToFit="1"/>
    </xf>
    <xf numFmtId="41" fontId="26" fillId="0" borderId="51" xfId="48" applyFont="1" applyBorder="1" applyAlignment="1">
      <alignment horizontal="center" vertical="center" shrinkToFit="1"/>
    </xf>
    <xf numFmtId="41" fontId="26" fillId="0" borderId="52" xfId="48" applyFont="1" applyBorder="1" applyAlignment="1">
      <alignment horizontal="center" vertical="center" shrinkToFit="1"/>
    </xf>
    <xf numFmtId="43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41" fontId="26" fillId="0" borderId="10" xfId="48" applyFont="1" applyBorder="1" applyAlignment="1">
      <alignment horizontal="center" vertical="center" shrinkToFit="1"/>
    </xf>
    <xf numFmtId="41" fontId="28" fillId="0" borderId="10" xfId="48" applyFont="1" applyBorder="1" applyAlignment="1">
      <alignment horizontal="center" vertical="center" shrinkToFit="1"/>
    </xf>
    <xf numFmtId="41" fontId="26" fillId="0" borderId="49" xfId="48" applyFont="1" applyBorder="1" applyAlignment="1">
      <alignment horizontal="center" vertical="center" shrinkToFit="1"/>
    </xf>
    <xf numFmtId="41" fontId="28" fillId="0" borderId="49" xfId="48" applyFont="1" applyBorder="1" applyAlignment="1">
      <alignment horizontal="center" vertical="center" shrinkToFit="1"/>
    </xf>
    <xf numFmtId="41" fontId="24" fillId="0" borderId="50" xfId="48" applyFont="1" applyBorder="1" applyAlignment="1">
      <alignment horizontal="center" vertical="center" shrinkToFit="1"/>
    </xf>
    <xf numFmtId="41" fontId="25" fillId="0" borderId="53" xfId="48" applyFont="1" applyBorder="1" applyAlignment="1">
      <alignment horizontal="center" vertical="center" shrinkToFit="1"/>
    </xf>
    <xf numFmtId="41" fontId="24" fillId="0" borderId="49" xfId="48" applyFont="1" applyBorder="1" applyAlignment="1">
      <alignment horizontal="center" vertical="center" textRotation="255" shrinkToFit="1"/>
    </xf>
    <xf numFmtId="41" fontId="26" fillId="38" borderId="53" xfId="48" applyFont="1" applyFill="1" applyBorder="1" applyAlignment="1">
      <alignment horizontal="center" vertical="center" shrinkToFit="1"/>
    </xf>
    <xf numFmtId="41" fontId="26" fillId="0" borderId="53" xfId="48" applyFont="1" applyBorder="1" applyAlignment="1">
      <alignment horizontal="center" vertical="center" shrinkToFit="1"/>
    </xf>
    <xf numFmtId="41" fontId="26" fillId="0" borderId="53" xfId="48" applyFont="1" applyBorder="1" applyAlignment="1">
      <alignment vertical="center" shrinkToFit="1"/>
    </xf>
    <xf numFmtId="41" fontId="26" fillId="0" borderId="54" xfId="48" applyFont="1" applyBorder="1" applyAlignment="1">
      <alignment vertical="center" shrinkToFit="1"/>
    </xf>
    <xf numFmtId="41" fontId="24" fillId="0" borderId="51" xfId="48" applyFont="1" applyBorder="1" applyAlignment="1">
      <alignment horizontal="center" vertical="center" shrinkToFit="1"/>
    </xf>
    <xf numFmtId="41" fontId="24" fillId="0" borderId="48" xfId="48" applyFont="1" applyBorder="1" applyAlignment="1">
      <alignment horizontal="center" vertical="center" shrinkToFit="1"/>
    </xf>
    <xf numFmtId="41" fontId="26" fillId="0" borderId="48" xfId="48" applyFont="1" applyBorder="1" applyAlignment="1">
      <alignment vertical="center" shrinkToFit="1"/>
    </xf>
    <xf numFmtId="41" fontId="26" fillId="0" borderId="0" xfId="48" applyFont="1" applyBorder="1" applyAlignment="1">
      <alignment vertical="center" shrinkToFit="1"/>
    </xf>
    <xf numFmtId="41" fontId="24" fillId="0" borderId="52" xfId="48" applyFont="1" applyBorder="1" applyAlignment="1">
      <alignment horizontal="center" vertical="center" shrinkToFit="1"/>
    </xf>
    <xf numFmtId="41" fontId="26" fillId="0" borderId="55" xfId="48" applyFont="1" applyBorder="1" applyAlignment="1">
      <alignment vertical="center" shrinkToFit="1"/>
    </xf>
    <xf numFmtId="41" fontId="28" fillId="0" borderId="53" xfId="48" applyFont="1" applyBorder="1" applyAlignment="1">
      <alignment horizontal="center" vertical="center" shrinkToFit="1"/>
    </xf>
    <xf numFmtId="41" fontId="24" fillId="0" borderId="10" xfId="48" applyFont="1" applyBorder="1" applyAlignment="1">
      <alignment vertical="center" shrinkToFit="1"/>
    </xf>
    <xf numFmtId="41" fontId="24" fillId="0" borderId="49" xfId="48" applyNumberFormat="1" applyFont="1" applyBorder="1" applyAlignment="1">
      <alignment horizontal="center" vertical="center" shrinkToFit="1"/>
    </xf>
    <xf numFmtId="41" fontId="24" fillId="0" borderId="49" xfId="48" applyFont="1" applyBorder="1" applyAlignment="1">
      <alignment vertical="center" shrinkToFit="1"/>
    </xf>
    <xf numFmtId="41" fontId="26" fillId="0" borderId="56" xfId="48" applyFont="1" applyBorder="1" applyAlignment="1">
      <alignment horizontal="center" vertical="center" shrinkToFit="1"/>
    </xf>
    <xf numFmtId="41" fontId="26" fillId="0" borderId="57" xfId="48" applyFont="1" applyBorder="1" applyAlignment="1">
      <alignment horizontal="center" vertical="center" shrinkToFit="1"/>
    </xf>
    <xf numFmtId="41" fontId="26" fillId="0" borderId="57" xfId="48" applyFont="1" applyBorder="1" applyAlignment="1">
      <alignment vertical="center" shrinkToFit="1"/>
    </xf>
    <xf numFmtId="41" fontId="26" fillId="0" borderId="51" xfId="48" applyFont="1" applyBorder="1" applyAlignment="1">
      <alignment horizontal="left" vertical="center" shrinkToFit="1"/>
    </xf>
    <xf numFmtId="41" fontId="26" fillId="0" borderId="58" xfId="48" applyFont="1" applyBorder="1" applyAlignment="1">
      <alignment horizontal="left" vertical="center" shrinkToFit="1"/>
    </xf>
    <xf numFmtId="41" fontId="26" fillId="0" borderId="59" xfId="48" applyFont="1" applyBorder="1" applyAlignment="1">
      <alignment vertical="center" shrinkToFit="1"/>
    </xf>
    <xf numFmtId="41" fontId="24" fillId="0" borderId="54" xfId="48" applyFont="1" applyBorder="1" applyAlignment="1">
      <alignment vertical="center" shrinkToFit="1"/>
    </xf>
    <xf numFmtId="41" fontId="24" fillId="0" borderId="60" xfId="48" applyFont="1" applyBorder="1" applyAlignment="1">
      <alignment vertical="center" shrinkToFit="1"/>
    </xf>
    <xf numFmtId="41" fontId="26" fillId="0" borderId="61" xfId="48" applyFont="1" applyBorder="1" applyAlignment="1">
      <alignment vertical="center" shrinkToFit="1"/>
    </xf>
    <xf numFmtId="41" fontId="12" fillId="0" borderId="20" xfId="48" applyFont="1" applyFill="1" applyBorder="1" applyAlignment="1">
      <alignment horizontal="center" vertical="center" wrapText="1" shrinkToFit="1"/>
    </xf>
    <xf numFmtId="211" fontId="12" fillId="0" borderId="20" xfId="48" applyNumberFormat="1" applyFont="1" applyFill="1" applyBorder="1" applyAlignment="1">
      <alignment horizontal="right" vertical="center" shrinkToFit="1"/>
    </xf>
    <xf numFmtId="0" fontId="12" fillId="0" borderId="45" xfId="0" applyFont="1" applyFill="1" applyBorder="1" applyAlignment="1" quotePrefix="1">
      <alignment vertical="center" shrinkToFit="1"/>
    </xf>
    <xf numFmtId="0" fontId="12" fillId="0" borderId="25" xfId="0" applyFont="1" applyFill="1" applyBorder="1" applyAlignment="1">
      <alignment vertical="center" shrinkToFit="1"/>
    </xf>
    <xf numFmtId="182" fontId="12" fillId="0" borderId="26" xfId="0" applyNumberFormat="1" applyFont="1" applyFill="1" applyBorder="1" applyAlignment="1">
      <alignment vertical="center" shrinkToFit="1"/>
    </xf>
    <xf numFmtId="41" fontId="14" fillId="0" borderId="30" xfId="48" applyFont="1" applyBorder="1" applyAlignment="1">
      <alignment horizontal="center" vertical="center" wrapText="1"/>
    </xf>
    <xf numFmtId="211" fontId="12" fillId="0" borderId="30" xfId="48" applyNumberFormat="1" applyFont="1" applyBorder="1" applyAlignment="1">
      <alignment horizontal="right" vertical="center" shrinkToFit="1"/>
    </xf>
    <xf numFmtId="41" fontId="12" fillId="0" borderId="14" xfId="48" applyFont="1" applyBorder="1" applyAlignment="1" quotePrefix="1">
      <alignment horizontal="center" vertical="center" shrinkToFit="1"/>
    </xf>
    <xf numFmtId="41" fontId="13" fillId="0" borderId="0" xfId="48" applyFont="1" applyAlignment="1">
      <alignment horizontal="center"/>
    </xf>
    <xf numFmtId="41" fontId="13" fillId="0" borderId="0" xfId="48" applyFont="1" applyAlignment="1">
      <alignment horizontal="center" vertical="center"/>
    </xf>
    <xf numFmtId="41" fontId="12" fillId="0" borderId="0" xfId="48" applyFont="1" applyAlignment="1">
      <alignment horizontal="center" vertical="center"/>
    </xf>
    <xf numFmtId="41" fontId="12" fillId="0" borderId="0" xfId="48" applyFont="1" applyAlignment="1">
      <alignment horizontal="left" vertical="center"/>
    </xf>
    <xf numFmtId="41" fontId="12" fillId="0" borderId="0" xfId="48" applyFont="1" applyBorder="1" applyAlignment="1">
      <alignment horizontal="left" vertical="center"/>
    </xf>
    <xf numFmtId="41" fontId="12" fillId="0" borderId="0" xfId="48" applyFont="1" applyBorder="1" applyAlignment="1">
      <alignment horizontal="left"/>
    </xf>
    <xf numFmtId="41" fontId="12" fillId="0" borderId="0" xfId="48" applyFont="1" applyBorder="1" applyAlignment="1">
      <alignment/>
    </xf>
    <xf numFmtId="41" fontId="12" fillId="0" borderId="0" xfId="48" applyFont="1" applyAlignment="1">
      <alignment horizontal="center" vertical="center" shrinkToFit="1"/>
    </xf>
    <xf numFmtId="41" fontId="12" fillId="0" borderId="0" xfId="48" applyFont="1" applyBorder="1" applyAlignment="1">
      <alignment horizontal="left" vertical="center" shrinkToFit="1"/>
    </xf>
    <xf numFmtId="41" fontId="12" fillId="0" borderId="0" xfId="48" applyFont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8" fillId="33" borderId="6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41" fontId="12" fillId="0" borderId="64" xfId="48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2" fillId="0" borderId="6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0" fillId="0" borderId="25" xfId="0" applyBorder="1" applyAlignment="1">
      <alignment horizontal="right" vertical="center"/>
    </xf>
    <xf numFmtId="41" fontId="12" fillId="34" borderId="37" xfId="48" applyFont="1" applyFill="1" applyBorder="1" applyAlignment="1">
      <alignment horizontal="center" vertical="center"/>
    </xf>
    <xf numFmtId="41" fontId="12" fillId="34" borderId="67" xfId="48" applyFont="1" applyFill="1" applyBorder="1" applyAlignment="1">
      <alignment horizontal="center" vertical="center"/>
    </xf>
    <xf numFmtId="41" fontId="12" fillId="34" borderId="18" xfId="48" applyFont="1" applyFill="1" applyBorder="1" applyAlignment="1">
      <alignment horizontal="center" vertical="center"/>
    </xf>
    <xf numFmtId="41" fontId="12" fillId="34" borderId="20" xfId="48" applyFont="1" applyFill="1" applyBorder="1" applyAlignment="1">
      <alignment horizontal="center" vertical="center"/>
    </xf>
    <xf numFmtId="41" fontId="12" fillId="34" borderId="18" xfId="48" applyFont="1" applyFill="1" applyBorder="1" applyAlignment="1">
      <alignment horizontal="center" vertical="center" wrapText="1"/>
    </xf>
    <xf numFmtId="41" fontId="12" fillId="34" borderId="20" xfId="48" applyFont="1" applyFill="1" applyBorder="1" applyAlignment="1">
      <alignment horizontal="center" vertical="center" wrapText="1"/>
    </xf>
    <xf numFmtId="41" fontId="12" fillId="34" borderId="35" xfId="48" applyFont="1" applyFill="1" applyBorder="1" applyAlignment="1">
      <alignment horizontal="center" vertical="center"/>
    </xf>
    <xf numFmtId="41" fontId="12" fillId="34" borderId="19" xfId="48" applyFont="1" applyFill="1" applyBorder="1" applyAlignment="1">
      <alignment horizontal="center" vertical="center"/>
    </xf>
    <xf numFmtId="0" fontId="15" fillId="34" borderId="68" xfId="0" applyFont="1" applyFill="1" applyBorder="1" applyAlignment="1">
      <alignment horizontal="center" vertical="center"/>
    </xf>
    <xf numFmtId="0" fontId="15" fillId="34" borderId="69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0" fontId="12" fillId="35" borderId="71" xfId="0" applyFont="1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12" fillId="35" borderId="44" xfId="0" applyFont="1" applyFill="1" applyBorder="1" applyAlignment="1">
      <alignment horizontal="center" vertical="center"/>
    </xf>
    <xf numFmtId="41" fontId="19" fillId="0" borderId="0" xfId="48" applyFont="1" applyAlignment="1">
      <alignment horizontal="center" vertical="center"/>
    </xf>
    <xf numFmtId="41" fontId="12" fillId="34" borderId="72" xfId="48" applyFont="1" applyFill="1" applyBorder="1" applyAlignment="1">
      <alignment horizontal="center" vertical="center"/>
    </xf>
    <xf numFmtId="41" fontId="12" fillId="34" borderId="73" xfId="48" applyFont="1" applyFill="1" applyBorder="1" applyAlignment="1">
      <alignment horizontal="center" vertical="center"/>
    </xf>
    <xf numFmtId="41" fontId="12" fillId="34" borderId="73" xfId="48" applyFont="1" applyFill="1" applyBorder="1" applyAlignment="1">
      <alignment horizontal="center" vertical="center" wrapText="1"/>
    </xf>
    <xf numFmtId="41" fontId="12" fillId="34" borderId="74" xfId="48" applyFont="1" applyFill="1" applyBorder="1" applyAlignment="1">
      <alignment horizontal="center" vertical="center"/>
    </xf>
    <xf numFmtId="41" fontId="12" fillId="34" borderId="75" xfId="48" applyFont="1" applyFill="1" applyBorder="1" applyAlignment="1">
      <alignment horizontal="center" vertical="center"/>
    </xf>
    <xf numFmtId="0" fontId="12" fillId="34" borderId="75" xfId="0" applyFont="1" applyFill="1" applyBorder="1" applyAlignment="1">
      <alignment vertical="center"/>
    </xf>
    <xf numFmtId="0" fontId="12" fillId="34" borderId="76" xfId="0" applyFont="1" applyFill="1" applyBorder="1" applyAlignment="1">
      <alignment vertical="center"/>
    </xf>
    <xf numFmtId="0" fontId="12" fillId="34" borderId="45" xfId="0" applyFont="1" applyFill="1" applyBorder="1" applyAlignment="1">
      <alignment vertical="center"/>
    </xf>
    <xf numFmtId="0" fontId="12" fillId="34" borderId="25" xfId="0" applyFont="1" applyFill="1" applyBorder="1" applyAlignment="1">
      <alignment vertical="center"/>
    </xf>
    <xf numFmtId="0" fontId="12" fillId="34" borderId="26" xfId="0" applyFont="1" applyFill="1" applyBorder="1" applyAlignment="1">
      <alignment vertical="center"/>
    </xf>
    <xf numFmtId="0" fontId="12" fillId="37" borderId="71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44" xfId="0" applyFont="1" applyFill="1" applyBorder="1" applyAlignment="1">
      <alignment horizontal="center" vertical="center"/>
    </xf>
    <xf numFmtId="41" fontId="12" fillId="37" borderId="27" xfId="0" applyNumberFormat="1" applyFont="1" applyFill="1" applyBorder="1" applyAlignment="1">
      <alignment horizontal="left" vertical="center"/>
    </xf>
    <xf numFmtId="0" fontId="12" fillId="37" borderId="12" xfId="0" applyFont="1" applyFill="1" applyBorder="1" applyAlignment="1">
      <alignment horizontal="left" vertical="center"/>
    </xf>
    <xf numFmtId="0" fontId="12" fillId="37" borderId="28" xfId="0" applyFont="1" applyFill="1" applyBorder="1" applyAlignment="1">
      <alignment horizontal="left" vertical="center"/>
    </xf>
    <xf numFmtId="0" fontId="12" fillId="35" borderId="64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65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12" fillId="36" borderId="77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vertical="center" shrinkToFit="1"/>
    </xf>
    <xf numFmtId="0" fontId="13" fillId="0" borderId="14" xfId="0" applyFont="1" applyBorder="1" applyAlignment="1">
      <alignment vertical="center"/>
    </xf>
    <xf numFmtId="0" fontId="12" fillId="36" borderId="65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left" vertical="center"/>
    </xf>
    <xf numFmtId="0" fontId="12" fillId="36" borderId="14" xfId="0" applyFont="1" applyFill="1" applyBorder="1" applyAlignment="1">
      <alignment horizontal="left" vertical="center"/>
    </xf>
    <xf numFmtId="0" fontId="12" fillId="36" borderId="21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21" xfId="0" applyFont="1" applyFill="1" applyBorder="1" applyAlignment="1">
      <alignment horizontal="left" vertical="center"/>
    </xf>
    <xf numFmtId="41" fontId="12" fillId="0" borderId="13" xfId="48" applyFont="1" applyBorder="1" applyAlignment="1">
      <alignment horizontal="center" vertical="center"/>
    </xf>
    <xf numFmtId="41" fontId="12" fillId="0" borderId="14" xfId="48" applyFont="1" applyBorder="1" applyAlignment="1">
      <alignment horizontal="center" vertical="center"/>
    </xf>
    <xf numFmtId="41" fontId="12" fillId="0" borderId="21" xfId="48" applyFont="1" applyBorder="1" applyAlignment="1">
      <alignment horizontal="center" vertical="center"/>
    </xf>
    <xf numFmtId="41" fontId="29" fillId="0" borderId="13" xfId="48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3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2" fontId="12" fillId="0" borderId="15" xfId="48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182" fontId="12" fillId="0" borderId="15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4" xfId="0" applyBorder="1" applyAlignment="1">
      <alignment vertical="center"/>
    </xf>
    <xf numFmtId="183" fontId="12" fillId="0" borderId="15" xfId="0" applyNumberFormat="1" applyFont="1" applyBorder="1" applyAlignment="1">
      <alignment horizontal="right" vertical="center"/>
    </xf>
    <xf numFmtId="0" fontId="12" fillId="35" borderId="78" xfId="0" applyFont="1" applyFill="1" applyBorder="1" applyAlignment="1">
      <alignment horizontal="center" vertical="center" wrapText="1"/>
    </xf>
    <xf numFmtId="0" fontId="12" fillId="35" borderId="32" xfId="0" applyFont="1" applyFill="1" applyBorder="1" applyAlignment="1">
      <alignment horizontal="center" vertical="center" wrapText="1"/>
    </xf>
    <xf numFmtId="0" fontId="12" fillId="35" borderId="66" xfId="0" applyFont="1" applyFill="1" applyBorder="1" applyAlignment="1">
      <alignment horizontal="center" vertical="center" wrapText="1"/>
    </xf>
    <xf numFmtId="211" fontId="12" fillId="0" borderId="15" xfId="48" applyNumberFormat="1" applyFont="1" applyBorder="1" applyAlignment="1">
      <alignment horizontal="right" vertical="center" shrinkToFit="1"/>
    </xf>
    <xf numFmtId="211" fontId="12" fillId="0" borderId="18" xfId="48" applyNumberFormat="1" applyFont="1" applyBorder="1" applyAlignment="1">
      <alignment horizontal="right" vertical="center" shrinkToFit="1"/>
    </xf>
    <xf numFmtId="41" fontId="12" fillId="0" borderId="36" xfId="48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1" fontId="12" fillId="0" borderId="15" xfId="48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1" fontId="12" fillId="36" borderId="29" xfId="48" applyFont="1" applyFill="1" applyBorder="1" applyAlignment="1">
      <alignment horizontal="left" vertical="center" shrinkToFit="1"/>
    </xf>
    <xf numFmtId="0" fontId="0" fillId="0" borderId="16" xfId="0" applyBorder="1" applyAlignment="1">
      <alignment vertical="center" shrinkToFit="1"/>
    </xf>
    <xf numFmtId="212" fontId="12" fillId="0" borderId="15" xfId="48" applyNumberFormat="1" applyFont="1" applyBorder="1" applyAlignment="1">
      <alignment horizontal="right" vertical="center" shrinkToFit="1"/>
    </xf>
    <xf numFmtId="0" fontId="0" fillId="0" borderId="34" xfId="0" applyBorder="1" applyAlignment="1">
      <alignment horizontal="right" vertical="center" shrinkToFit="1"/>
    </xf>
    <xf numFmtId="211" fontId="12" fillId="0" borderId="73" xfId="0" applyNumberFormat="1" applyFont="1" applyBorder="1" applyAlignment="1">
      <alignment horizontal="right" vertical="center" shrinkToFit="1"/>
    </xf>
    <xf numFmtId="211" fontId="12" fillId="0" borderId="18" xfId="0" applyNumberFormat="1" applyFont="1" applyBorder="1" applyAlignment="1">
      <alignment horizontal="right" vertical="center" shrinkToFit="1"/>
    </xf>
    <xf numFmtId="211" fontId="0" fillId="0" borderId="18" xfId="0" applyNumberFormat="1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12" fillId="34" borderId="64" xfId="0" applyFont="1" applyFill="1" applyBorder="1" applyAlignment="1">
      <alignment horizontal="center" vertical="center" wrapText="1" shrinkToFit="1"/>
    </xf>
    <xf numFmtId="0" fontId="12" fillId="34" borderId="14" xfId="0" applyFont="1" applyFill="1" applyBorder="1" applyAlignment="1">
      <alignment horizontal="center" vertical="center" wrapText="1" shrinkToFit="1"/>
    </xf>
    <xf numFmtId="0" fontId="12" fillId="34" borderId="65" xfId="0" applyFont="1" applyFill="1" applyBorder="1" applyAlignment="1">
      <alignment horizontal="center" vertical="center" wrapText="1" shrinkToFit="1"/>
    </xf>
    <xf numFmtId="41" fontId="12" fillId="0" borderId="0" xfId="48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41" fontId="12" fillId="33" borderId="73" xfId="48" applyFont="1" applyFill="1" applyBorder="1" applyAlignment="1">
      <alignment horizontal="center" vertical="center" wrapText="1" shrinkToFit="1"/>
    </xf>
    <xf numFmtId="41" fontId="12" fillId="33" borderId="20" xfId="48" applyFont="1" applyFill="1" applyBorder="1" applyAlignment="1">
      <alignment horizontal="center" vertical="center" wrapText="1" shrinkToFit="1"/>
    </xf>
    <xf numFmtId="41" fontId="12" fillId="33" borderId="74" xfId="48" applyFont="1" applyFill="1" applyBorder="1" applyAlignment="1">
      <alignment horizontal="center" vertical="center" shrinkToFit="1"/>
    </xf>
    <xf numFmtId="41" fontId="12" fillId="33" borderId="75" xfId="48" applyFont="1" applyFill="1" applyBorder="1" applyAlignment="1">
      <alignment horizontal="center" vertical="center" shrinkToFit="1"/>
    </xf>
    <xf numFmtId="0" fontId="12" fillId="33" borderId="75" xfId="0" applyFont="1" applyFill="1" applyBorder="1" applyAlignment="1">
      <alignment vertical="center" shrinkToFit="1"/>
    </xf>
    <xf numFmtId="0" fontId="12" fillId="33" borderId="76" xfId="0" applyFont="1" applyFill="1" applyBorder="1" applyAlignment="1">
      <alignment vertical="center" shrinkToFit="1"/>
    </xf>
    <xf numFmtId="0" fontId="12" fillId="33" borderId="45" xfId="0" applyFont="1" applyFill="1" applyBorder="1" applyAlignment="1">
      <alignment vertical="center" shrinkToFit="1"/>
    </xf>
    <xf numFmtId="0" fontId="12" fillId="33" borderId="25" xfId="0" applyFont="1" applyFill="1" applyBorder="1" applyAlignment="1">
      <alignment vertical="center" shrinkToFit="1"/>
    </xf>
    <xf numFmtId="0" fontId="12" fillId="33" borderId="26" xfId="0" applyFont="1" applyFill="1" applyBorder="1" applyAlignment="1">
      <alignment vertical="center" shrinkToFit="1"/>
    </xf>
    <xf numFmtId="41" fontId="12" fillId="0" borderId="25" xfId="48" applyFont="1" applyFill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212" fontId="12" fillId="0" borderId="18" xfId="0" applyNumberFormat="1" applyFont="1" applyBorder="1" applyAlignment="1">
      <alignment horizontal="right" vertical="center" shrinkToFit="1"/>
    </xf>
    <xf numFmtId="212" fontId="6" fillId="0" borderId="18" xfId="0" applyNumberFormat="1" applyFont="1" applyBorder="1" applyAlignment="1">
      <alignment horizontal="right" vertical="center" shrinkToFit="1"/>
    </xf>
    <xf numFmtId="211" fontId="0" fillId="0" borderId="20" xfId="0" applyNumberFormat="1" applyBorder="1" applyAlignment="1">
      <alignment horizontal="right" vertical="center" shrinkToFit="1"/>
    </xf>
    <xf numFmtId="41" fontId="12" fillId="33" borderId="72" xfId="48" applyFont="1" applyFill="1" applyBorder="1" applyAlignment="1">
      <alignment horizontal="center" vertical="center" shrinkToFit="1"/>
    </xf>
    <xf numFmtId="41" fontId="12" fillId="33" borderId="67" xfId="48" applyFont="1" applyFill="1" applyBorder="1" applyAlignment="1">
      <alignment horizontal="center" vertical="center" shrinkToFit="1"/>
    </xf>
    <xf numFmtId="41" fontId="12" fillId="33" borderId="73" xfId="48" applyFont="1" applyFill="1" applyBorder="1" applyAlignment="1">
      <alignment horizontal="center" vertical="center" shrinkToFit="1"/>
    </xf>
    <xf numFmtId="41" fontId="12" fillId="33" borderId="20" xfId="48" applyFont="1" applyFill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80" xfId="0" applyFont="1" applyBorder="1" applyAlignment="1">
      <alignment horizontal="center" vertical="center" shrinkToFit="1"/>
    </xf>
    <xf numFmtId="212" fontId="12" fillId="0" borderId="15" xfId="0" applyNumberFormat="1" applyFont="1" applyBorder="1" applyAlignment="1">
      <alignment vertical="center"/>
    </xf>
    <xf numFmtId="212" fontId="12" fillId="0" borderId="18" xfId="0" applyNumberFormat="1" applyFont="1" applyBorder="1" applyAlignment="1">
      <alignment vertical="center"/>
    </xf>
    <xf numFmtId="212" fontId="6" fillId="0" borderId="18" xfId="0" applyNumberFormat="1" applyFont="1" applyBorder="1" applyAlignment="1">
      <alignment vertical="center"/>
    </xf>
    <xf numFmtId="212" fontId="12" fillId="0" borderId="15" xfId="0" applyNumberFormat="1" applyFont="1" applyBorder="1" applyAlignment="1">
      <alignment horizontal="right" vertical="center"/>
    </xf>
    <xf numFmtId="212" fontId="12" fillId="0" borderId="18" xfId="0" applyNumberFormat="1" applyFont="1" applyBorder="1" applyAlignment="1">
      <alignment horizontal="right" vertical="center"/>
    </xf>
    <xf numFmtId="212" fontId="6" fillId="0" borderId="18" xfId="0" applyNumberFormat="1" applyFont="1" applyBorder="1" applyAlignment="1">
      <alignment horizontal="right" vertical="center"/>
    </xf>
    <xf numFmtId="0" fontId="12" fillId="35" borderId="13" xfId="0" applyFont="1" applyFill="1" applyBorder="1" applyAlignment="1">
      <alignment horizontal="center" vertical="center" wrapText="1" shrinkToFit="1"/>
    </xf>
    <xf numFmtId="0" fontId="12" fillId="35" borderId="65" xfId="0" applyFont="1" applyFill="1" applyBorder="1" applyAlignment="1">
      <alignment horizontal="center" vertical="center" wrapText="1" shrinkToFit="1"/>
    </xf>
    <xf numFmtId="0" fontId="12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41" fontId="12" fillId="0" borderId="81" xfId="48" applyFont="1" applyBorder="1" applyAlignment="1">
      <alignment horizontal="center" vertical="center" shrinkToFit="1"/>
    </xf>
    <xf numFmtId="0" fontId="12" fillId="0" borderId="82" xfId="0" applyFont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212" fontId="12" fillId="0" borderId="15" xfId="48" applyNumberFormat="1" applyFont="1" applyBorder="1" applyAlignment="1">
      <alignment vertical="center" shrinkToFit="1"/>
    </xf>
    <xf numFmtId="212" fontId="12" fillId="0" borderId="18" xfId="48" applyNumberFormat="1" applyFont="1" applyBorder="1" applyAlignment="1">
      <alignment vertical="center" shrinkToFit="1"/>
    </xf>
    <xf numFmtId="212" fontId="0" fillId="0" borderId="20" xfId="0" applyNumberFormat="1" applyBorder="1" applyAlignment="1">
      <alignment vertical="center" shrinkToFit="1"/>
    </xf>
    <xf numFmtId="212" fontId="6" fillId="0" borderId="18" xfId="0" applyNumberFormat="1" applyFont="1" applyBorder="1" applyAlignment="1">
      <alignment/>
    </xf>
    <xf numFmtId="212" fontId="0" fillId="0" borderId="20" xfId="0" applyNumberFormat="1" applyBorder="1" applyAlignment="1">
      <alignment/>
    </xf>
    <xf numFmtId="212" fontId="0" fillId="0" borderId="20" xfId="0" applyNumberFormat="1" applyBorder="1" applyAlignment="1">
      <alignment horizontal="right" vertical="center" shrinkToFit="1"/>
    </xf>
    <xf numFmtId="211" fontId="12" fillId="0" borderId="15" xfId="48" applyNumberFormat="1" applyFont="1" applyFill="1" applyBorder="1" applyAlignment="1">
      <alignment horizontal="right" vertical="center" shrinkToFit="1"/>
    </xf>
    <xf numFmtId="211" fontId="12" fillId="0" borderId="18" xfId="48" applyNumberFormat="1" applyFont="1" applyFill="1" applyBorder="1" applyAlignment="1">
      <alignment horizontal="right" vertical="center" shrinkToFit="1"/>
    </xf>
    <xf numFmtId="212" fontId="6" fillId="0" borderId="34" xfId="0" applyNumberFormat="1" applyFont="1" applyBorder="1" applyAlignment="1">
      <alignment horizontal="right" vertical="center"/>
    </xf>
    <xf numFmtId="0" fontId="12" fillId="0" borderId="74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41" fontId="12" fillId="0" borderId="15" xfId="48" applyFont="1" applyBorder="1" applyAlignment="1">
      <alignment horizontal="center" vertical="center" wrapText="1" shrinkToFit="1"/>
    </xf>
    <xf numFmtId="41" fontId="12" fillId="0" borderId="18" xfId="48" applyFont="1" applyBorder="1" applyAlignment="1">
      <alignment horizontal="center" vertical="center" wrapText="1" shrinkToFit="1"/>
    </xf>
    <xf numFmtId="0" fontId="12" fillId="0" borderId="18" xfId="0" applyFont="1" applyBorder="1" applyAlignment="1">
      <alignment horizontal="center" vertical="center" wrapText="1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67" xfId="0" applyFont="1" applyBorder="1" applyAlignment="1">
      <alignment horizontal="center" vertical="center" shrinkToFit="1"/>
    </xf>
    <xf numFmtId="41" fontId="12" fillId="35" borderId="13" xfId="48" applyFont="1" applyFill="1" applyBorder="1" applyAlignment="1">
      <alignment horizontal="center" vertical="center" shrinkToFit="1"/>
    </xf>
    <xf numFmtId="41" fontId="12" fillId="35" borderId="65" xfId="48" applyFont="1" applyFill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wrapText="1" shrinkToFit="1"/>
    </xf>
    <xf numFmtId="212" fontId="12" fillId="0" borderId="18" xfId="48" applyNumberFormat="1" applyFont="1" applyBorder="1" applyAlignment="1">
      <alignment horizontal="right" vertical="center" shrinkToFit="1"/>
    </xf>
    <xf numFmtId="211" fontId="12" fillId="0" borderId="20" xfId="48" applyNumberFormat="1" applyFont="1" applyBorder="1" applyAlignment="1">
      <alignment horizontal="right" vertical="center" shrinkToFit="1"/>
    </xf>
    <xf numFmtId="212" fontId="12" fillId="33" borderId="73" xfId="48" applyNumberFormat="1" applyFont="1" applyFill="1" applyBorder="1" applyAlignment="1">
      <alignment horizontal="center" vertical="center" wrapText="1" shrinkToFit="1"/>
    </xf>
    <xf numFmtId="212" fontId="12" fillId="33" borderId="20" xfId="48" applyNumberFormat="1" applyFont="1" applyFill="1" applyBorder="1" applyAlignment="1">
      <alignment horizontal="center" vertical="center" shrinkToFit="1"/>
    </xf>
    <xf numFmtId="212" fontId="12" fillId="33" borderId="74" xfId="48" applyNumberFormat="1" applyFont="1" applyFill="1" applyBorder="1" applyAlignment="1">
      <alignment horizontal="center" vertical="center" shrinkToFit="1"/>
    </xf>
    <xf numFmtId="212" fontId="12" fillId="33" borderId="75" xfId="48" applyNumberFormat="1" applyFont="1" applyFill="1" applyBorder="1" applyAlignment="1">
      <alignment horizontal="center" vertical="center" shrinkToFit="1"/>
    </xf>
    <xf numFmtId="212" fontId="12" fillId="0" borderId="15" xfId="48" applyNumberFormat="1" applyFont="1" applyFill="1" applyBorder="1" applyAlignment="1">
      <alignment horizontal="right" vertical="center" shrinkToFit="1"/>
    </xf>
    <xf numFmtId="212" fontId="12" fillId="0" borderId="18" xfId="48" applyNumberFormat="1" applyFont="1" applyFill="1" applyBorder="1" applyAlignment="1">
      <alignment horizontal="right" vertical="center" shrinkToFit="1"/>
    </xf>
    <xf numFmtId="212" fontId="12" fillId="0" borderId="20" xfId="48" applyNumberFormat="1" applyFont="1" applyFill="1" applyBorder="1" applyAlignment="1">
      <alignment horizontal="right" vertical="center" shrinkToFit="1"/>
    </xf>
    <xf numFmtId="182" fontId="12" fillId="0" borderId="15" xfId="48" applyNumberFormat="1" applyFont="1" applyBorder="1" applyAlignment="1">
      <alignment horizontal="right" vertical="center" shrinkToFit="1"/>
    </xf>
    <xf numFmtId="182" fontId="12" fillId="0" borderId="18" xfId="48" applyNumberFormat="1" applyFont="1" applyBorder="1" applyAlignment="1">
      <alignment horizontal="right" vertical="center" shrinkToFit="1"/>
    </xf>
    <xf numFmtId="182" fontId="12" fillId="0" borderId="20" xfId="48" applyNumberFormat="1" applyFont="1" applyBorder="1" applyAlignment="1">
      <alignment horizontal="right" vertical="center" shrinkToFit="1"/>
    </xf>
    <xf numFmtId="212" fontId="12" fillId="0" borderId="18" xfId="0" applyNumberFormat="1" applyFont="1" applyBorder="1" applyAlignment="1">
      <alignment horizontal="right"/>
    </xf>
    <xf numFmtId="182" fontId="12" fillId="0" borderId="18" xfId="0" applyNumberFormat="1" applyFont="1" applyBorder="1" applyAlignment="1">
      <alignment horizontal="right"/>
    </xf>
    <xf numFmtId="182" fontId="12" fillId="0" borderId="34" xfId="48" applyNumberFormat="1" applyFont="1" applyBorder="1" applyAlignment="1">
      <alignment horizontal="right" vertical="center" shrinkToFit="1"/>
    </xf>
    <xf numFmtId="41" fontId="12" fillId="0" borderId="18" xfId="48" applyFont="1" applyBorder="1" applyAlignment="1">
      <alignment horizontal="center" vertical="center" shrinkToFit="1"/>
    </xf>
    <xf numFmtId="211" fontId="13" fillId="0" borderId="18" xfId="0" applyNumberFormat="1" applyFont="1" applyBorder="1" applyAlignment="1">
      <alignment horizontal="right" vertical="center" shrinkToFit="1"/>
    </xf>
    <xf numFmtId="212" fontId="13" fillId="0" borderId="18" xfId="0" applyNumberFormat="1" applyFont="1" applyBorder="1" applyAlignment="1">
      <alignment horizontal="right" vertical="center" shrinkToFit="1"/>
    </xf>
    <xf numFmtId="211" fontId="12" fillId="0" borderId="34" xfId="48" applyNumberFormat="1" applyFont="1" applyBorder="1" applyAlignment="1">
      <alignment horizontal="right" vertical="center" shrinkToFit="1"/>
    </xf>
    <xf numFmtId="212" fontId="12" fillId="0" borderId="15" xfId="48" applyNumberFormat="1" applyFont="1" applyBorder="1" applyAlignment="1">
      <alignment horizontal="right" vertical="center"/>
    </xf>
    <xf numFmtId="212" fontId="13" fillId="0" borderId="18" xfId="0" applyNumberFormat="1" applyFont="1" applyBorder="1" applyAlignment="1">
      <alignment horizontal="right" vertical="center"/>
    </xf>
    <xf numFmtId="49" fontId="13" fillId="0" borderId="77" xfId="0" applyNumberFormat="1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212" fontId="12" fillId="0" borderId="34" xfId="48" applyNumberFormat="1" applyFont="1" applyBorder="1" applyAlignment="1">
      <alignment horizontal="right" vertical="center" shrinkToFit="1"/>
    </xf>
    <xf numFmtId="41" fontId="14" fillId="0" borderId="15" xfId="48" applyFont="1" applyBorder="1" applyAlignment="1">
      <alignment horizontal="center" vertical="center" wrapText="1"/>
    </xf>
    <xf numFmtId="41" fontId="14" fillId="0" borderId="18" xfId="48" applyFont="1" applyBorder="1" applyAlignment="1">
      <alignment horizontal="center" vertical="center" wrapText="1"/>
    </xf>
    <xf numFmtId="41" fontId="12" fillId="34" borderId="64" xfId="48" applyFont="1" applyFill="1" applyBorder="1" applyAlignment="1">
      <alignment horizontal="center" vertical="center" shrinkToFit="1"/>
    </xf>
    <xf numFmtId="41" fontId="12" fillId="34" borderId="14" xfId="48" applyFont="1" applyFill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1" fontId="12" fillId="0" borderId="18" xfId="48" applyFont="1" applyBorder="1" applyAlignment="1">
      <alignment horizontal="center" vertical="center" wrapText="1"/>
    </xf>
    <xf numFmtId="41" fontId="12" fillId="0" borderId="29" xfId="48" applyFont="1" applyBorder="1" applyAlignment="1">
      <alignment horizontal="center" vertical="center" shrinkToFit="1"/>
    </xf>
    <xf numFmtId="41" fontId="12" fillId="0" borderId="35" xfId="48" applyFont="1" applyBorder="1" applyAlignment="1">
      <alignment horizontal="center" vertical="center" shrinkToFit="1"/>
    </xf>
    <xf numFmtId="41" fontId="12" fillId="0" borderId="45" xfId="48" applyFont="1" applyBorder="1" applyAlignment="1">
      <alignment horizontal="center" vertical="center" shrinkToFit="1"/>
    </xf>
    <xf numFmtId="41" fontId="12" fillId="34" borderId="79" xfId="48" applyFont="1" applyFill="1" applyBorder="1" applyAlignment="1">
      <alignment horizontal="center" vertical="center" shrinkToFit="1"/>
    </xf>
    <xf numFmtId="41" fontId="12" fillId="34" borderId="12" xfId="48" applyFont="1" applyFill="1" applyBorder="1" applyAlignment="1">
      <alignment horizontal="center" vertical="center" shrinkToFit="1"/>
    </xf>
    <xf numFmtId="41" fontId="12" fillId="34" borderId="65" xfId="48" applyFont="1" applyFill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82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41" fontId="12" fillId="0" borderId="77" xfId="48" applyFont="1" applyBorder="1" applyAlignment="1">
      <alignment horizontal="center" vertical="center" shrinkToFit="1"/>
    </xf>
    <xf numFmtId="41" fontId="12" fillId="0" borderId="38" xfId="48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41" fontId="14" fillId="0" borderId="34" xfId="48" applyFont="1" applyBorder="1" applyAlignment="1">
      <alignment horizontal="center" vertical="center" wrapText="1"/>
    </xf>
    <xf numFmtId="41" fontId="12" fillId="0" borderId="15" xfId="48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12" fontId="0" fillId="0" borderId="34" xfId="0" applyNumberFormat="1" applyBorder="1" applyAlignment="1">
      <alignment horizontal="right" vertical="center" shrinkToFit="1"/>
    </xf>
    <xf numFmtId="212" fontId="0" fillId="0" borderId="34" xfId="0" applyNumberFormat="1" applyBorder="1" applyAlignment="1">
      <alignment horizontal="right" vertical="center"/>
    </xf>
    <xf numFmtId="211" fontId="0" fillId="0" borderId="34" xfId="0" applyNumberFormat="1" applyBorder="1" applyAlignment="1">
      <alignment horizontal="right" vertical="center" shrinkToFit="1"/>
    </xf>
    <xf numFmtId="212" fontId="6" fillId="0" borderId="18" xfId="0" applyNumberFormat="1" applyFont="1" applyBorder="1" applyAlignment="1">
      <alignment horizontal="right"/>
    </xf>
    <xf numFmtId="0" fontId="12" fillId="0" borderId="35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12" fillId="0" borderId="7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212" fontId="12" fillId="0" borderId="73" xfId="0" applyNumberFormat="1" applyFont="1" applyBorder="1" applyAlignment="1">
      <alignment horizontal="center" vertical="center" shrinkToFit="1"/>
    </xf>
    <xf numFmtId="212" fontId="12" fillId="0" borderId="18" xfId="0" applyNumberFormat="1" applyFont="1" applyBorder="1" applyAlignment="1">
      <alignment horizontal="center" vertical="center" shrinkToFit="1"/>
    </xf>
    <xf numFmtId="212" fontId="0" fillId="0" borderId="18" xfId="0" applyNumberFormat="1" applyBorder="1" applyAlignment="1">
      <alignment horizontal="center" vertical="center" shrinkToFit="1"/>
    </xf>
    <xf numFmtId="211" fontId="12" fillId="0" borderId="18" xfId="0" applyNumberFormat="1" applyFont="1" applyBorder="1" applyAlignment="1">
      <alignment horizontal="right"/>
    </xf>
    <xf numFmtId="41" fontId="12" fillId="0" borderId="15" xfId="48" applyFont="1" applyFill="1" applyBorder="1" applyAlignment="1">
      <alignment horizontal="center" vertical="center" wrapText="1" shrinkToFit="1"/>
    </xf>
    <xf numFmtId="41" fontId="12" fillId="0" borderId="18" xfId="48" applyFont="1" applyFill="1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 shrinkToFit="1"/>
    </xf>
    <xf numFmtId="212" fontId="0" fillId="0" borderId="18" xfId="0" applyNumberFormat="1" applyBorder="1" applyAlignment="1">
      <alignment horizontal="right" vertical="center" shrinkToFit="1"/>
    </xf>
    <xf numFmtId="41" fontId="24" fillId="0" borderId="84" xfId="48" applyFont="1" applyBorder="1" applyAlignment="1">
      <alignment horizontal="center" vertical="center" shrinkToFit="1"/>
    </xf>
    <xf numFmtId="41" fontId="24" fillId="0" borderId="69" xfId="48" applyFont="1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41" fontId="24" fillId="0" borderId="86" xfId="48" applyFont="1" applyBorder="1" applyAlignment="1">
      <alignment horizontal="center" vertical="center" shrinkToFit="1"/>
    </xf>
    <xf numFmtId="41" fontId="24" fillId="0" borderId="10" xfId="48" applyFont="1" applyBorder="1" applyAlignment="1">
      <alignment horizontal="center" vertical="center" shrinkToFit="1"/>
    </xf>
    <xf numFmtId="41" fontId="24" fillId="0" borderId="87" xfId="48" applyFont="1" applyBorder="1" applyAlignment="1">
      <alignment horizontal="center" vertical="center" shrinkToFit="1"/>
    </xf>
    <xf numFmtId="0" fontId="24" fillId="0" borderId="53" xfId="0" applyFont="1" applyBorder="1" applyAlignment="1">
      <alignment horizontal="center" vertical="center" shrinkToFit="1"/>
    </xf>
    <xf numFmtId="41" fontId="24" fillId="0" borderId="88" xfId="48" applyFont="1" applyBorder="1" applyAlignment="1">
      <alignment horizontal="center" vertical="center" shrinkToFit="1"/>
    </xf>
    <xf numFmtId="41" fontId="24" fillId="0" borderId="54" xfId="48" applyFont="1" applyBorder="1" applyAlignment="1">
      <alignment horizontal="center" vertical="center" shrinkToFit="1"/>
    </xf>
    <xf numFmtId="41" fontId="24" fillId="0" borderId="88" xfId="48" applyFont="1" applyBorder="1" applyAlignment="1">
      <alignment horizontal="center" vertical="center"/>
    </xf>
    <xf numFmtId="41" fontId="24" fillId="0" borderId="54" xfId="48" applyFont="1" applyBorder="1" applyAlignment="1">
      <alignment horizontal="center" vertical="center"/>
    </xf>
    <xf numFmtId="41" fontId="26" fillId="0" borderId="89" xfId="48" applyFont="1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41" fontId="22" fillId="0" borderId="0" xfId="48" applyFont="1" applyBorder="1" applyAlignment="1">
      <alignment horizontal="center"/>
    </xf>
    <xf numFmtId="41" fontId="24" fillId="0" borderId="92" xfId="48" applyFont="1" applyBorder="1" applyAlignment="1">
      <alignment horizontal="center" vertical="center" textRotation="255" shrinkToFit="1"/>
    </xf>
    <xf numFmtId="41" fontId="24" fillId="0" borderId="51" xfId="48" applyFont="1" applyBorder="1" applyAlignment="1">
      <alignment horizontal="center" vertical="center" textRotation="255" shrinkToFit="1"/>
    </xf>
    <xf numFmtId="41" fontId="24" fillId="0" borderId="86" xfId="48" applyFont="1" applyBorder="1" applyAlignment="1">
      <alignment horizontal="center" vertical="center" textRotation="255" shrinkToFit="1"/>
    </xf>
    <xf numFmtId="41" fontId="24" fillId="0" borderId="10" xfId="48" applyFont="1" applyBorder="1" applyAlignment="1">
      <alignment horizontal="center" vertical="center" textRotation="255" shrinkToFit="1"/>
    </xf>
    <xf numFmtId="41" fontId="24" fillId="38" borderId="86" xfId="48" applyFont="1" applyFill="1" applyBorder="1" applyAlignment="1">
      <alignment horizontal="center" vertical="center" shrinkToFit="1"/>
    </xf>
    <xf numFmtId="41" fontId="24" fillId="38" borderId="10" xfId="48" applyFont="1" applyFill="1" applyBorder="1" applyAlignment="1">
      <alignment horizontal="center" vertical="center" shrinkToFit="1"/>
    </xf>
    <xf numFmtId="41" fontId="24" fillId="0" borderId="53" xfId="48" applyFont="1" applyBorder="1" applyAlignment="1">
      <alignment horizontal="center" vertical="center" shrinkToFit="1"/>
    </xf>
    <xf numFmtId="41" fontId="24" fillId="0" borderId="87" xfId="48" applyFont="1" applyBorder="1" applyAlignment="1">
      <alignment horizontal="center" vertical="center" wrapText="1"/>
    </xf>
    <xf numFmtId="41" fontId="24" fillId="0" borderId="53" xfId="48" applyFont="1" applyBorder="1" applyAlignment="1">
      <alignment horizontal="center" vertical="center" wrapText="1"/>
    </xf>
    <xf numFmtId="41" fontId="24" fillId="0" borderId="84" xfId="48" applyFont="1" applyBorder="1" applyAlignment="1">
      <alignment horizontal="center" vertical="center"/>
    </xf>
    <xf numFmtId="41" fontId="24" fillId="0" borderId="69" xfId="48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41" fontId="24" fillId="0" borderId="86" xfId="48" applyFont="1" applyBorder="1" applyAlignment="1">
      <alignment horizontal="center" vertical="center"/>
    </xf>
    <xf numFmtId="41" fontId="24" fillId="0" borderId="10" xfId="48" applyFont="1" applyBorder="1" applyAlignment="1">
      <alignment horizontal="center" vertical="center"/>
    </xf>
    <xf numFmtId="41" fontId="24" fillId="0" borderId="87" xfId="48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41" fontId="24" fillId="0" borderId="92" xfId="48" applyFont="1" applyBorder="1" applyAlignment="1">
      <alignment horizontal="center" vertical="center" textRotation="255"/>
    </xf>
    <xf numFmtId="41" fontId="24" fillId="0" borderId="51" xfId="48" applyFont="1" applyBorder="1" applyAlignment="1">
      <alignment horizontal="center" vertical="center" textRotation="255"/>
    </xf>
    <xf numFmtId="41" fontId="24" fillId="0" borderId="86" xfId="48" applyFont="1" applyBorder="1" applyAlignment="1">
      <alignment horizontal="center" vertical="center" textRotation="255"/>
    </xf>
    <xf numFmtId="41" fontId="24" fillId="0" borderId="10" xfId="48" applyFont="1" applyBorder="1" applyAlignment="1">
      <alignment horizontal="center" vertical="center" textRotation="255"/>
    </xf>
    <xf numFmtId="41" fontId="24" fillId="38" borderId="86" xfId="48" applyFont="1" applyFill="1" applyBorder="1" applyAlignment="1">
      <alignment horizontal="center" vertical="center"/>
    </xf>
    <xf numFmtId="41" fontId="24" fillId="38" borderId="10" xfId="48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8"/>
  <sheetViews>
    <sheetView zoomScalePageLayoutView="0" workbookViewId="0" topLeftCell="A1">
      <selection activeCell="F9" sqref="F9"/>
    </sheetView>
  </sheetViews>
  <sheetFormatPr defaultColWidth="8.88671875" defaultRowHeight="13.5"/>
  <cols>
    <col min="1" max="1" width="11.77734375" style="1" customWidth="1"/>
    <col min="2" max="2" width="13.10546875" style="1" customWidth="1"/>
    <col min="3" max="3" width="10.77734375" style="1" customWidth="1"/>
    <col min="4" max="5" width="25.77734375" style="1" customWidth="1"/>
    <col min="6" max="7" width="10.77734375" style="1" customWidth="1"/>
    <col min="8" max="16384" width="8.88671875" style="1" customWidth="1"/>
  </cols>
  <sheetData>
    <row r="3" spans="1:2" ht="20.25">
      <c r="A3" s="342" t="s">
        <v>241</v>
      </c>
      <c r="B3" s="343"/>
    </row>
    <row r="4" ht="34.5" customHeight="1"/>
    <row r="5" spans="1:8" ht="38.25" customHeight="1">
      <c r="A5" s="344" t="s">
        <v>170</v>
      </c>
      <c r="B5" s="344"/>
      <c r="C5" s="344"/>
      <c r="D5" s="344"/>
      <c r="E5" s="344"/>
      <c r="F5" s="344"/>
      <c r="G5" s="344"/>
      <c r="H5" s="344"/>
    </row>
    <row r="6" ht="22.5" customHeight="1"/>
    <row r="7" ht="22.5" customHeight="1"/>
    <row r="8" ht="22.5" customHeight="1"/>
    <row r="9" spans="4:5" ht="30" customHeight="1">
      <c r="D9" s="16" t="s">
        <v>21</v>
      </c>
      <c r="E9" s="17">
        <f>세입!H5</f>
        <v>129247871</v>
      </c>
    </row>
    <row r="10" spans="4:5" ht="30" customHeight="1">
      <c r="D10" s="16" t="s">
        <v>22</v>
      </c>
      <c r="E10" s="17">
        <f>E9</f>
        <v>129247871</v>
      </c>
    </row>
    <row r="11" spans="4:5" ht="30" customHeight="1">
      <c r="D11" s="347" t="s">
        <v>23</v>
      </c>
      <c r="E11" s="348"/>
    </row>
    <row r="12" ht="27" customHeight="1"/>
    <row r="13" ht="43.5" customHeight="1"/>
    <row r="14" spans="1:7" ht="43.5" customHeight="1">
      <c r="A14" s="2"/>
      <c r="B14" s="2"/>
      <c r="C14" s="2"/>
      <c r="D14" s="345" t="s">
        <v>143</v>
      </c>
      <c r="E14" s="345"/>
      <c r="F14" s="2"/>
      <c r="G14" s="3"/>
    </row>
    <row r="15" ht="27" customHeight="1"/>
    <row r="16" ht="27" customHeight="1"/>
    <row r="17" ht="27" customHeight="1"/>
    <row r="18" spans="1:7" ht="22.5">
      <c r="A18" s="345"/>
      <c r="B18" s="345"/>
      <c r="C18" s="345"/>
      <c r="D18" s="345"/>
      <c r="E18" s="345"/>
      <c r="F18" s="345"/>
      <c r="G18" s="346"/>
    </row>
  </sheetData>
  <sheetProtection/>
  <mergeCells count="5">
    <mergeCell ref="A3:B3"/>
    <mergeCell ref="A5:H5"/>
    <mergeCell ref="A18:G18"/>
    <mergeCell ref="D14:E14"/>
    <mergeCell ref="D11:E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13"/>
  <sheetViews>
    <sheetView zoomScalePageLayoutView="0" workbookViewId="0" topLeftCell="A1">
      <selection activeCell="A11" sqref="A11"/>
    </sheetView>
  </sheetViews>
  <sheetFormatPr defaultColWidth="8.88671875" defaultRowHeight="24.75" customHeight="1"/>
  <cols>
    <col min="1" max="2" width="8.88671875" style="4" customWidth="1"/>
    <col min="3" max="3" width="10.77734375" style="4" customWidth="1"/>
    <col min="4" max="9" width="8.88671875" style="4" customWidth="1"/>
    <col min="10" max="10" width="11.6640625" style="4" customWidth="1"/>
    <col min="11" max="11" width="13.6640625" style="4" bestFit="1" customWidth="1"/>
    <col min="12" max="12" width="10.6640625" style="4" customWidth="1"/>
    <col min="13" max="16384" width="8.88671875" style="4" customWidth="1"/>
  </cols>
  <sheetData>
    <row r="4" spans="1:12" ht="24.75" customHeight="1">
      <c r="A4" s="156" t="s">
        <v>92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12" ht="24.7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2" ht="24.7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7" spans="1:12" ht="24.7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12" s="5" customFormat="1" ht="24.75" customHeight="1">
      <c r="A8" s="349" t="s">
        <v>242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</row>
    <row r="9" spans="1:12" s="5" customFormat="1" ht="15" customHeight="1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</row>
    <row r="10" spans="1:12" s="5" customFormat="1" ht="24.75" customHeight="1">
      <c r="A10" s="351" t="s">
        <v>309</v>
      </c>
      <c r="B10" s="352"/>
      <c r="C10" s="352"/>
      <c r="D10" s="352"/>
      <c r="E10" s="352"/>
      <c r="F10" s="158"/>
      <c r="G10" s="158"/>
      <c r="H10" s="158"/>
      <c r="I10" s="158"/>
      <c r="J10" s="158"/>
      <c r="K10" s="158"/>
      <c r="L10" s="158"/>
    </row>
    <row r="11" spans="1:12" s="5" customFormat="1" ht="24.75" customHeight="1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</row>
    <row r="12" spans="1:12" s="5" customFormat="1" ht="24.75" customHeight="1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</row>
    <row r="13" spans="1:12" s="5" customFormat="1" ht="24.75" customHeight="1">
      <c r="A13" s="349" t="s">
        <v>243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53"/>
    </row>
  </sheetData>
  <sheetProtection/>
  <mergeCells count="3">
    <mergeCell ref="A8:L8"/>
    <mergeCell ref="A10:E10"/>
    <mergeCell ref="A13:L13"/>
  </mergeCells>
  <printOptions/>
  <pageMargins left="0.54" right="0.3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SheetLayoutView="100" workbookViewId="0" topLeftCell="A1">
      <selection activeCell="E22" sqref="E22"/>
    </sheetView>
  </sheetViews>
  <sheetFormatPr defaultColWidth="8.88671875" defaultRowHeight="13.5"/>
  <cols>
    <col min="1" max="2" width="2.3359375" style="6" customWidth="1"/>
    <col min="3" max="3" width="11.77734375" style="6" customWidth="1"/>
    <col min="4" max="4" width="10.77734375" style="6" customWidth="1"/>
    <col min="5" max="5" width="10.4453125" style="6" customWidth="1"/>
    <col min="6" max="6" width="8.21484375" style="6" customWidth="1"/>
    <col min="7" max="7" width="8.4453125" style="6" customWidth="1"/>
    <col min="8" max="9" width="2.3359375" style="6" customWidth="1"/>
    <col min="10" max="10" width="13.99609375" style="6" customWidth="1"/>
    <col min="11" max="11" width="10.88671875" style="6" customWidth="1"/>
    <col min="12" max="12" width="10.5546875" style="6" customWidth="1"/>
    <col min="13" max="13" width="9.5546875" style="6" customWidth="1"/>
    <col min="14" max="14" width="9.10546875" style="6" customWidth="1"/>
    <col min="15" max="16384" width="8.88671875" style="6" customWidth="1"/>
  </cols>
  <sheetData>
    <row r="1" spans="1:14" ht="15" customHeight="1" thickBot="1">
      <c r="A1" s="4"/>
      <c r="M1" s="365" t="s">
        <v>14</v>
      </c>
      <c r="N1" s="365"/>
    </row>
    <row r="2" spans="1:14" ht="15.75" customHeight="1">
      <c r="A2" s="374" t="s">
        <v>71</v>
      </c>
      <c r="B2" s="375"/>
      <c r="C2" s="375"/>
      <c r="D2" s="375"/>
      <c r="E2" s="375"/>
      <c r="F2" s="375"/>
      <c r="G2" s="376"/>
      <c r="H2" s="374" t="s">
        <v>72</v>
      </c>
      <c r="I2" s="375"/>
      <c r="J2" s="375"/>
      <c r="K2" s="375"/>
      <c r="L2" s="375"/>
      <c r="M2" s="375"/>
      <c r="N2" s="376"/>
    </row>
    <row r="3" spans="1:14" ht="13.5" customHeight="1">
      <c r="A3" s="366" t="s">
        <v>1</v>
      </c>
      <c r="B3" s="368" t="s">
        <v>2</v>
      </c>
      <c r="C3" s="368" t="s">
        <v>3</v>
      </c>
      <c r="D3" s="370" t="s">
        <v>244</v>
      </c>
      <c r="E3" s="370" t="s">
        <v>245</v>
      </c>
      <c r="F3" s="372" t="s">
        <v>4</v>
      </c>
      <c r="G3" s="373"/>
      <c r="H3" s="366" t="s">
        <v>1</v>
      </c>
      <c r="I3" s="368" t="s">
        <v>2</v>
      </c>
      <c r="J3" s="368" t="s">
        <v>3</v>
      </c>
      <c r="K3" s="370" t="s">
        <v>244</v>
      </c>
      <c r="L3" s="370" t="s">
        <v>245</v>
      </c>
      <c r="M3" s="372" t="s">
        <v>4</v>
      </c>
      <c r="N3" s="373"/>
    </row>
    <row r="4" spans="1:14" ht="13.5" customHeight="1" thickBot="1">
      <c r="A4" s="367"/>
      <c r="B4" s="369"/>
      <c r="C4" s="369"/>
      <c r="D4" s="371"/>
      <c r="E4" s="371"/>
      <c r="F4" s="84" t="s">
        <v>5</v>
      </c>
      <c r="G4" s="138" t="s">
        <v>6</v>
      </c>
      <c r="H4" s="367"/>
      <c r="I4" s="369"/>
      <c r="J4" s="369"/>
      <c r="K4" s="371"/>
      <c r="L4" s="371"/>
      <c r="M4" s="84" t="s">
        <v>5</v>
      </c>
      <c r="N4" s="138" t="s">
        <v>6</v>
      </c>
    </row>
    <row r="5" spans="1:14" ht="13.5" customHeight="1">
      <c r="A5" s="377" t="s">
        <v>73</v>
      </c>
      <c r="B5" s="378"/>
      <c r="C5" s="379"/>
      <c r="D5" s="139">
        <f>D6+D18+D21+D12+D24</f>
        <v>125253</v>
      </c>
      <c r="E5" s="139">
        <f>E6+E12+E18+E21+E11</f>
        <v>129248</v>
      </c>
      <c r="F5" s="139">
        <f aca="true" t="shared" si="0" ref="F5:F10">E5-D5</f>
        <v>3995</v>
      </c>
      <c r="G5" s="140">
        <f>F5/D5*100</f>
        <v>3.1895443622108854</v>
      </c>
      <c r="H5" s="377" t="s">
        <v>8</v>
      </c>
      <c r="I5" s="378"/>
      <c r="J5" s="379"/>
      <c r="K5" s="251">
        <f>K6+K18+K22+K33+K32</f>
        <v>125252915</v>
      </c>
      <c r="L5" s="251">
        <f>L6+L18+L22+L33+L32</f>
        <v>129247871</v>
      </c>
      <c r="M5" s="251">
        <f aca="true" t="shared" si="1" ref="M5:M17">L5-K5</f>
        <v>3994956</v>
      </c>
      <c r="N5" s="140">
        <f aca="true" t="shared" si="2" ref="N5:N16">M5/K5*100</f>
        <v>3.1895113977986065</v>
      </c>
    </row>
    <row r="6" spans="1:14" ht="13.5" customHeight="1">
      <c r="A6" s="357" t="s">
        <v>74</v>
      </c>
      <c r="B6" s="362"/>
      <c r="C6" s="359"/>
      <c r="D6" s="141">
        <f>D7+D11</f>
        <v>125050</v>
      </c>
      <c r="E6" s="141">
        <f>E7</f>
        <v>125050</v>
      </c>
      <c r="F6" s="142">
        <f t="shared" si="0"/>
        <v>0</v>
      </c>
      <c r="G6" s="143">
        <f>F6/D6*100</f>
        <v>0</v>
      </c>
      <c r="H6" s="357" t="s">
        <v>75</v>
      </c>
      <c r="I6" s="362"/>
      <c r="J6" s="359"/>
      <c r="K6" s="252">
        <f>K7+K13</f>
        <v>65115800</v>
      </c>
      <c r="L6" s="252">
        <f>세출!E5</f>
        <v>69875290</v>
      </c>
      <c r="M6" s="253">
        <f t="shared" si="1"/>
        <v>4759490</v>
      </c>
      <c r="N6" s="143">
        <f t="shared" si="2"/>
        <v>7.309270561061985</v>
      </c>
    </row>
    <row r="7" spans="1:14" ht="13.5" customHeight="1">
      <c r="A7" s="96"/>
      <c r="B7" s="358" t="s">
        <v>248</v>
      </c>
      <c r="C7" s="359"/>
      <c r="D7" s="141">
        <f>SUM(D8:D11)</f>
        <v>125050</v>
      </c>
      <c r="E7" s="141">
        <f>E8+E9+E10</f>
        <v>125050</v>
      </c>
      <c r="F7" s="142">
        <f t="shared" si="0"/>
        <v>0</v>
      </c>
      <c r="G7" s="143">
        <f>F7/D7*100</f>
        <v>0</v>
      </c>
      <c r="H7" s="96"/>
      <c r="I7" s="358" t="s">
        <v>76</v>
      </c>
      <c r="J7" s="359"/>
      <c r="K7" s="252">
        <f>세출!D6</f>
        <v>63870380</v>
      </c>
      <c r="L7" s="252">
        <f>세출!E6</f>
        <v>69052180</v>
      </c>
      <c r="M7" s="253">
        <f t="shared" si="1"/>
        <v>5181800</v>
      </c>
      <c r="N7" s="143">
        <f t="shared" si="2"/>
        <v>8.11299384785248</v>
      </c>
    </row>
    <row r="8" spans="1:14" ht="13.5" customHeight="1">
      <c r="A8" s="104"/>
      <c r="B8" s="66"/>
      <c r="C8" s="273" t="s">
        <v>249</v>
      </c>
      <c r="D8" s="131">
        <v>67000</v>
      </c>
      <c r="E8" s="131">
        <v>67000</v>
      </c>
      <c r="F8" s="142">
        <f t="shared" si="0"/>
        <v>0</v>
      </c>
      <c r="G8" s="143">
        <f>F8/D8*100</f>
        <v>0</v>
      </c>
      <c r="H8" s="104"/>
      <c r="I8" s="66"/>
      <c r="J8" s="130" t="s">
        <v>261</v>
      </c>
      <c r="K8" s="254">
        <f>세출!D7</f>
        <v>27501000</v>
      </c>
      <c r="L8" s="254">
        <f>세출!E7</f>
        <v>29319000</v>
      </c>
      <c r="M8" s="253">
        <f t="shared" si="1"/>
        <v>1818000</v>
      </c>
      <c r="N8" s="143">
        <f t="shared" si="2"/>
        <v>6.610668702956255</v>
      </c>
    </row>
    <row r="9" spans="1:14" ht="13.5" customHeight="1">
      <c r="A9" s="104"/>
      <c r="B9" s="113"/>
      <c r="C9" s="78" t="s">
        <v>250</v>
      </c>
      <c r="D9" s="106">
        <f>세입!D9</f>
        <v>58050</v>
      </c>
      <c r="E9" s="106">
        <f>세입!E9</f>
        <v>58050</v>
      </c>
      <c r="F9" s="142">
        <f t="shared" si="0"/>
        <v>0</v>
      </c>
      <c r="G9" s="143">
        <v>0</v>
      </c>
      <c r="H9" s="104"/>
      <c r="I9" s="113"/>
      <c r="J9" s="105" t="s">
        <v>260</v>
      </c>
      <c r="K9" s="255">
        <f>세출!D11</f>
        <v>12836600</v>
      </c>
      <c r="L9" s="255">
        <f>세출!E11</f>
        <v>13931600</v>
      </c>
      <c r="M9" s="253">
        <f t="shared" si="1"/>
        <v>1095000</v>
      </c>
      <c r="N9" s="143">
        <f t="shared" si="2"/>
        <v>8.530296184347879</v>
      </c>
    </row>
    <row r="10" spans="1:14" ht="13.5" customHeight="1">
      <c r="A10" s="104"/>
      <c r="B10" s="113"/>
      <c r="C10" s="25" t="s">
        <v>251</v>
      </c>
      <c r="D10" s="106">
        <v>0</v>
      </c>
      <c r="E10" s="106">
        <v>0</v>
      </c>
      <c r="F10" s="142">
        <f t="shared" si="0"/>
        <v>0</v>
      </c>
      <c r="G10" s="143">
        <v>0</v>
      </c>
      <c r="H10" s="104"/>
      <c r="I10" s="113"/>
      <c r="J10" s="105" t="s">
        <v>0</v>
      </c>
      <c r="K10" s="255">
        <f>세출!D19</f>
        <v>14653100</v>
      </c>
      <c r="L10" s="255">
        <f>세출!E19</f>
        <v>15404400</v>
      </c>
      <c r="M10" s="253">
        <f t="shared" si="1"/>
        <v>751300</v>
      </c>
      <c r="N10" s="143">
        <f t="shared" si="2"/>
        <v>5.127242699497034</v>
      </c>
    </row>
    <row r="11" spans="1:14" ht="13.5" customHeight="1">
      <c r="A11" s="354" t="s">
        <v>252</v>
      </c>
      <c r="B11" s="355"/>
      <c r="C11" s="356"/>
      <c r="D11" s="106">
        <v>0</v>
      </c>
      <c r="E11" s="106">
        <v>3500</v>
      </c>
      <c r="F11" s="142">
        <v>3500</v>
      </c>
      <c r="G11" s="143">
        <v>0</v>
      </c>
      <c r="H11" s="104"/>
      <c r="I11" s="113"/>
      <c r="J11" s="105" t="s">
        <v>77</v>
      </c>
      <c r="K11" s="255">
        <f>세출!D40</f>
        <v>4582660</v>
      </c>
      <c r="L11" s="255">
        <f>세출!E40</f>
        <v>5702040</v>
      </c>
      <c r="M11" s="253">
        <f t="shared" si="1"/>
        <v>1119380</v>
      </c>
      <c r="N11" s="143">
        <f t="shared" si="2"/>
        <v>24.42642482750193</v>
      </c>
    </row>
    <row r="12" spans="1:14" ht="13.5" customHeight="1">
      <c r="A12" s="357" t="s">
        <v>16</v>
      </c>
      <c r="B12" s="362"/>
      <c r="C12" s="359"/>
      <c r="D12" s="141">
        <f>D13</f>
        <v>60</v>
      </c>
      <c r="E12" s="141">
        <f>E13</f>
        <v>620</v>
      </c>
      <c r="F12" s="142">
        <f aca="true" t="shared" si="3" ref="F12:F26">E12-D12</f>
        <v>560</v>
      </c>
      <c r="G12" s="143">
        <f>G13</f>
        <v>933.3</v>
      </c>
      <c r="H12" s="104"/>
      <c r="I12" s="113"/>
      <c r="J12" s="105" t="s">
        <v>262</v>
      </c>
      <c r="K12" s="252">
        <f>세출!D42</f>
        <v>4297020</v>
      </c>
      <c r="L12" s="252">
        <f>세출!E42</f>
        <v>4695140</v>
      </c>
      <c r="M12" s="253">
        <f t="shared" si="1"/>
        <v>398120</v>
      </c>
      <c r="N12" s="143">
        <f t="shared" si="2"/>
        <v>9.26502552932032</v>
      </c>
    </row>
    <row r="13" spans="1:14" ht="13.5" customHeight="1">
      <c r="A13" s="96"/>
      <c r="B13" s="358" t="s">
        <v>17</v>
      </c>
      <c r="C13" s="359"/>
      <c r="D13" s="141">
        <f>D14</f>
        <v>60</v>
      </c>
      <c r="E13" s="141">
        <f>E14</f>
        <v>620</v>
      </c>
      <c r="F13" s="142">
        <f t="shared" si="3"/>
        <v>560</v>
      </c>
      <c r="G13" s="143">
        <f>G14</f>
        <v>933.3</v>
      </c>
      <c r="H13" s="96"/>
      <c r="I13" s="358" t="s">
        <v>78</v>
      </c>
      <c r="J13" s="359"/>
      <c r="K13" s="252">
        <f>K14:L14+K15+K16+K17</f>
        <v>1245420</v>
      </c>
      <c r="L13" s="252">
        <f>L14+L15+L16+L17:M17</f>
        <v>823110</v>
      </c>
      <c r="M13" s="253">
        <f t="shared" si="1"/>
        <v>-422310</v>
      </c>
      <c r="N13" s="143">
        <f t="shared" si="2"/>
        <v>-33.90904273257214</v>
      </c>
    </row>
    <row r="14" spans="1:14" ht="13.5" customHeight="1">
      <c r="A14" s="104"/>
      <c r="B14" s="66"/>
      <c r="C14" s="273" t="s">
        <v>253</v>
      </c>
      <c r="D14" s="106">
        <f>세입!D13</f>
        <v>60</v>
      </c>
      <c r="E14" s="106">
        <v>620</v>
      </c>
      <c r="F14" s="142">
        <f t="shared" si="3"/>
        <v>560</v>
      </c>
      <c r="G14" s="143">
        <v>933.3</v>
      </c>
      <c r="H14" s="104"/>
      <c r="I14" s="66"/>
      <c r="J14" s="130" t="s">
        <v>15</v>
      </c>
      <c r="K14" s="254">
        <v>0</v>
      </c>
      <c r="L14" s="254">
        <v>0</v>
      </c>
      <c r="M14" s="253">
        <f t="shared" si="1"/>
        <v>0</v>
      </c>
      <c r="N14" s="143">
        <v>0</v>
      </c>
    </row>
    <row r="15" spans="1:14" ht="13.5" customHeight="1">
      <c r="A15" s="357" t="s">
        <v>79</v>
      </c>
      <c r="B15" s="362"/>
      <c r="C15" s="359"/>
      <c r="D15" s="106">
        <v>0</v>
      </c>
      <c r="E15" s="106">
        <v>0</v>
      </c>
      <c r="F15" s="142">
        <f t="shared" si="3"/>
        <v>0</v>
      </c>
      <c r="G15" s="143">
        <v>0</v>
      </c>
      <c r="H15" s="104"/>
      <c r="I15" s="113"/>
      <c r="J15" s="105" t="s">
        <v>9</v>
      </c>
      <c r="K15" s="252">
        <f>세출!D50</f>
        <v>622810</v>
      </c>
      <c r="L15" s="252">
        <f>세출!E50</f>
        <v>360000</v>
      </c>
      <c r="M15" s="253">
        <f t="shared" si="1"/>
        <v>-262810</v>
      </c>
      <c r="N15" s="143">
        <f t="shared" si="2"/>
        <v>-42.197459899487804</v>
      </c>
    </row>
    <row r="16" spans="1:14" ht="13.5" customHeight="1">
      <c r="A16" s="96"/>
      <c r="B16" s="358" t="s">
        <v>80</v>
      </c>
      <c r="C16" s="359"/>
      <c r="D16" s="106">
        <v>0</v>
      </c>
      <c r="E16" s="106">
        <v>0</v>
      </c>
      <c r="F16" s="142">
        <f t="shared" si="3"/>
        <v>0</v>
      </c>
      <c r="G16" s="143">
        <v>0</v>
      </c>
      <c r="H16" s="104"/>
      <c r="I16" s="113"/>
      <c r="J16" s="105" t="s">
        <v>10</v>
      </c>
      <c r="K16" s="252">
        <f>세출!D53</f>
        <v>359500</v>
      </c>
      <c r="L16" s="252">
        <f>세출!E53</f>
        <v>200000</v>
      </c>
      <c r="M16" s="253">
        <f t="shared" si="1"/>
        <v>-159500</v>
      </c>
      <c r="N16" s="143">
        <f t="shared" si="2"/>
        <v>-44.36717663421418</v>
      </c>
    </row>
    <row r="17" spans="1:14" ht="13.5" customHeight="1">
      <c r="A17" s="104"/>
      <c r="B17" s="66"/>
      <c r="C17" s="130" t="s">
        <v>80</v>
      </c>
      <c r="D17" s="106">
        <v>0</v>
      </c>
      <c r="E17" s="106">
        <v>0</v>
      </c>
      <c r="F17" s="142">
        <f t="shared" si="3"/>
        <v>0</v>
      </c>
      <c r="G17" s="143">
        <v>0</v>
      </c>
      <c r="H17" s="104"/>
      <c r="I17" s="113"/>
      <c r="J17" s="105" t="s">
        <v>11</v>
      </c>
      <c r="K17" s="254">
        <f>세출!D56</f>
        <v>263110</v>
      </c>
      <c r="L17" s="254">
        <f>세출!E56</f>
        <v>263110</v>
      </c>
      <c r="M17" s="253">
        <f t="shared" si="1"/>
        <v>0</v>
      </c>
      <c r="N17" s="143">
        <v>0</v>
      </c>
    </row>
    <row r="18" spans="1:14" ht="13.5" customHeight="1">
      <c r="A18" s="357" t="s">
        <v>81</v>
      </c>
      <c r="B18" s="362"/>
      <c r="C18" s="359"/>
      <c r="D18" s="141">
        <f>D19</f>
        <v>138</v>
      </c>
      <c r="E18" s="141">
        <f>E19</f>
        <v>73</v>
      </c>
      <c r="F18" s="142">
        <f t="shared" si="3"/>
        <v>-65</v>
      </c>
      <c r="G18" s="143">
        <f>F18/D18*100</f>
        <v>-47.10144927536232</v>
      </c>
      <c r="H18" s="357" t="s">
        <v>83</v>
      </c>
      <c r="I18" s="360"/>
      <c r="J18" s="361"/>
      <c r="K18" s="252">
        <f>K19</f>
        <v>50000</v>
      </c>
      <c r="L18" s="252">
        <f>L19</f>
        <v>0</v>
      </c>
      <c r="M18" s="253">
        <f aca="true" t="shared" si="4" ref="M18:M28">L18-K18</f>
        <v>-50000</v>
      </c>
      <c r="N18" s="143">
        <f>M18/K18*100</f>
        <v>-100</v>
      </c>
    </row>
    <row r="19" spans="1:14" ht="13.5" customHeight="1">
      <c r="A19" s="96"/>
      <c r="B19" s="358" t="s">
        <v>82</v>
      </c>
      <c r="C19" s="359"/>
      <c r="D19" s="141">
        <f>D20</f>
        <v>138</v>
      </c>
      <c r="E19" s="141">
        <f>E20</f>
        <v>73</v>
      </c>
      <c r="F19" s="142">
        <f t="shared" si="3"/>
        <v>-65</v>
      </c>
      <c r="G19" s="143">
        <f>F19/D19*100</f>
        <v>-47.10144927536232</v>
      </c>
      <c r="H19" s="96"/>
      <c r="I19" s="358" t="s">
        <v>84</v>
      </c>
      <c r="J19" s="361"/>
      <c r="K19" s="254">
        <f>SUM(K20:K21)</f>
        <v>50000</v>
      </c>
      <c r="L19" s="254">
        <f>L20+L21</f>
        <v>0</v>
      </c>
      <c r="M19" s="253">
        <f t="shared" si="4"/>
        <v>-50000</v>
      </c>
      <c r="N19" s="143">
        <f>M19/K19*100</f>
        <v>-100</v>
      </c>
    </row>
    <row r="20" spans="1:14" ht="13.5" customHeight="1">
      <c r="A20" s="104"/>
      <c r="B20" s="66"/>
      <c r="C20" s="130" t="s">
        <v>254</v>
      </c>
      <c r="D20" s="131">
        <f>세입!D19</f>
        <v>138</v>
      </c>
      <c r="E20" s="131">
        <f>세입!E19</f>
        <v>73</v>
      </c>
      <c r="F20" s="142">
        <f t="shared" si="3"/>
        <v>-65</v>
      </c>
      <c r="G20" s="143">
        <f>F20/D20*100</f>
        <v>-47.10144927536232</v>
      </c>
      <c r="H20" s="104"/>
      <c r="I20" s="66"/>
      <c r="J20" s="130" t="s">
        <v>12</v>
      </c>
      <c r="K20" s="252">
        <f>세출!D64</f>
        <v>0</v>
      </c>
      <c r="L20" s="252">
        <f>세출!E64</f>
        <v>0</v>
      </c>
      <c r="M20" s="253">
        <f t="shared" si="4"/>
        <v>0</v>
      </c>
      <c r="N20" s="143">
        <v>0</v>
      </c>
    </row>
    <row r="21" spans="1:14" ht="13.5" customHeight="1">
      <c r="A21" s="357" t="s">
        <v>85</v>
      </c>
      <c r="B21" s="362"/>
      <c r="C21" s="359"/>
      <c r="D21" s="141">
        <f>D22</f>
        <v>5</v>
      </c>
      <c r="E21" s="141">
        <f>E22</f>
        <v>5</v>
      </c>
      <c r="F21" s="142">
        <f t="shared" si="3"/>
        <v>0</v>
      </c>
      <c r="G21" s="143">
        <v>0</v>
      </c>
      <c r="H21" s="104"/>
      <c r="I21" s="113"/>
      <c r="J21" s="105" t="s">
        <v>13</v>
      </c>
      <c r="K21" s="252">
        <f>세출!D66</f>
        <v>50000</v>
      </c>
      <c r="L21" s="252">
        <f>세출!E66</f>
        <v>0</v>
      </c>
      <c r="M21" s="253">
        <f t="shared" si="4"/>
        <v>-50000</v>
      </c>
      <c r="N21" s="143">
        <f aca="true" t="shared" si="5" ref="N21:N27">M21/K21*100</f>
        <v>-100</v>
      </c>
    </row>
    <row r="22" spans="1:14" ht="13.5" customHeight="1">
      <c r="A22" s="96"/>
      <c r="B22" s="358" t="s">
        <v>86</v>
      </c>
      <c r="C22" s="359"/>
      <c r="D22" s="141">
        <f>D23</f>
        <v>5</v>
      </c>
      <c r="E22" s="141">
        <f>E23</f>
        <v>5</v>
      </c>
      <c r="F22" s="142">
        <f t="shared" si="3"/>
        <v>0</v>
      </c>
      <c r="G22" s="143">
        <v>0</v>
      </c>
      <c r="H22" s="357" t="s">
        <v>87</v>
      </c>
      <c r="I22" s="360"/>
      <c r="J22" s="361"/>
      <c r="K22" s="252">
        <f>K23</f>
        <v>59991200</v>
      </c>
      <c r="L22" s="252">
        <f>L23</f>
        <v>58918000</v>
      </c>
      <c r="M22" s="253">
        <f t="shared" si="4"/>
        <v>-1073200</v>
      </c>
      <c r="N22" s="143">
        <f t="shared" si="5"/>
        <v>-1.7889290429262956</v>
      </c>
    </row>
    <row r="23" spans="1:14" ht="13.5" customHeight="1">
      <c r="A23" s="104"/>
      <c r="B23" s="66"/>
      <c r="C23" s="25" t="s">
        <v>255</v>
      </c>
      <c r="D23" s="131">
        <f>세입!D22</f>
        <v>5</v>
      </c>
      <c r="E23" s="131">
        <f>세입!E22</f>
        <v>5</v>
      </c>
      <c r="F23" s="142">
        <f t="shared" si="3"/>
        <v>0</v>
      </c>
      <c r="G23" s="143">
        <v>0</v>
      </c>
      <c r="H23" s="96"/>
      <c r="I23" s="358" t="s">
        <v>88</v>
      </c>
      <c r="J23" s="361"/>
      <c r="K23" s="252">
        <f>세출!D69</f>
        <v>59991200</v>
      </c>
      <c r="L23" s="252">
        <f>세출!E69</f>
        <v>58918000</v>
      </c>
      <c r="M23" s="253">
        <f t="shared" si="4"/>
        <v>-1073200</v>
      </c>
      <c r="N23" s="143">
        <f t="shared" si="5"/>
        <v>-1.7889290429262956</v>
      </c>
    </row>
    <row r="24" spans="1:14" ht="13.5" customHeight="1">
      <c r="A24" s="357" t="s">
        <v>256</v>
      </c>
      <c r="B24" s="362"/>
      <c r="C24" s="359"/>
      <c r="D24" s="141">
        <v>0</v>
      </c>
      <c r="E24" s="141">
        <v>0</v>
      </c>
      <c r="F24" s="142">
        <f t="shared" si="3"/>
        <v>0</v>
      </c>
      <c r="G24" s="143">
        <v>0</v>
      </c>
      <c r="H24" s="104"/>
      <c r="I24" s="66"/>
      <c r="J24" s="273" t="s">
        <v>89</v>
      </c>
      <c r="K24" s="254">
        <f>세출!D70</f>
        <v>191500</v>
      </c>
      <c r="L24" s="254">
        <f>세출!E70</f>
        <v>60000</v>
      </c>
      <c r="M24" s="253">
        <f t="shared" si="4"/>
        <v>-131500</v>
      </c>
      <c r="N24" s="143">
        <f t="shared" si="5"/>
        <v>-68.66840731070496</v>
      </c>
    </row>
    <row r="25" spans="1:14" ht="13.5" customHeight="1">
      <c r="A25" s="96"/>
      <c r="B25" s="358" t="s">
        <v>256</v>
      </c>
      <c r="C25" s="359"/>
      <c r="D25" s="141">
        <v>0</v>
      </c>
      <c r="E25" s="141">
        <v>0</v>
      </c>
      <c r="F25" s="142">
        <f t="shared" si="3"/>
        <v>0</v>
      </c>
      <c r="G25" s="143">
        <v>0</v>
      </c>
      <c r="H25" s="104"/>
      <c r="I25" s="113"/>
      <c r="J25" s="78" t="s">
        <v>97</v>
      </c>
      <c r="K25" s="255">
        <f>세출!D73</f>
        <v>431850</v>
      </c>
      <c r="L25" s="255">
        <f>세출!E73</f>
        <v>110000</v>
      </c>
      <c r="M25" s="253">
        <f t="shared" si="4"/>
        <v>-321850</v>
      </c>
      <c r="N25" s="143">
        <f t="shared" si="5"/>
        <v>-74.52819265948824</v>
      </c>
    </row>
    <row r="26" spans="1:14" ht="13.5" customHeight="1">
      <c r="A26" s="104"/>
      <c r="B26" s="66"/>
      <c r="C26" s="66" t="s">
        <v>257</v>
      </c>
      <c r="D26" s="131">
        <v>0</v>
      </c>
      <c r="E26" s="131">
        <v>0</v>
      </c>
      <c r="F26" s="142">
        <f t="shared" si="3"/>
        <v>0</v>
      </c>
      <c r="G26" s="143">
        <v>0</v>
      </c>
      <c r="H26" s="104"/>
      <c r="I26" s="113"/>
      <c r="J26" s="78" t="s">
        <v>90</v>
      </c>
      <c r="K26" s="255">
        <f>세출!D75</f>
        <v>200000</v>
      </c>
      <c r="L26" s="255">
        <f>세출!E75</f>
        <v>100000</v>
      </c>
      <c r="M26" s="253">
        <f t="shared" si="4"/>
        <v>-100000</v>
      </c>
      <c r="N26" s="143">
        <f t="shared" si="5"/>
        <v>-50</v>
      </c>
    </row>
    <row r="27" spans="1:14" ht="13.5" customHeight="1">
      <c r="A27" s="144"/>
      <c r="B27" s="145"/>
      <c r="C27" s="145"/>
      <c r="D27" s="146"/>
      <c r="E27" s="146"/>
      <c r="F27" s="142"/>
      <c r="G27" s="143"/>
      <c r="H27" s="104"/>
      <c r="I27" s="113"/>
      <c r="J27" s="78" t="s">
        <v>91</v>
      </c>
      <c r="K27" s="252">
        <f>세출!D77</f>
        <v>924850</v>
      </c>
      <c r="L27" s="252">
        <f>세출!E77</f>
        <v>200000</v>
      </c>
      <c r="M27" s="253">
        <f t="shared" si="4"/>
        <v>-724850</v>
      </c>
      <c r="N27" s="143">
        <f t="shared" si="5"/>
        <v>-78.37487160080013</v>
      </c>
    </row>
    <row r="28" spans="1:14" ht="13.5" customHeight="1">
      <c r="A28" s="144"/>
      <c r="B28" s="145"/>
      <c r="C28" s="145"/>
      <c r="D28" s="146"/>
      <c r="E28" s="146"/>
      <c r="F28" s="142" t="s">
        <v>18</v>
      </c>
      <c r="G28" s="143"/>
      <c r="H28" s="104"/>
      <c r="I28" s="113"/>
      <c r="J28" s="172" t="s">
        <v>279</v>
      </c>
      <c r="K28" s="252">
        <f>세출!D79</f>
        <v>0</v>
      </c>
      <c r="L28" s="252">
        <f>세출!E79</f>
        <v>100000</v>
      </c>
      <c r="M28" s="253">
        <f t="shared" si="4"/>
        <v>100000</v>
      </c>
      <c r="N28" s="143">
        <v>0</v>
      </c>
    </row>
    <row r="29" spans="1:14" ht="13.5" customHeight="1">
      <c r="A29" s="144"/>
      <c r="B29" s="145"/>
      <c r="C29" s="145"/>
      <c r="D29" s="146"/>
      <c r="E29" s="146"/>
      <c r="F29" s="142"/>
      <c r="G29" s="143"/>
      <c r="H29" s="104"/>
      <c r="I29" s="113"/>
      <c r="J29" s="341" t="s">
        <v>198</v>
      </c>
      <c r="K29" s="270">
        <v>47</v>
      </c>
      <c r="L29" s="270">
        <v>50</v>
      </c>
      <c r="M29" s="270">
        <f aca="true" t="shared" si="6" ref="M29:M34">L29-K29</f>
        <v>3</v>
      </c>
      <c r="N29" s="143">
        <f>M29/K29*100</f>
        <v>6.382978723404255</v>
      </c>
    </row>
    <row r="30" spans="1:14" ht="13.5" customHeight="1">
      <c r="A30" s="144"/>
      <c r="B30" s="145"/>
      <c r="C30" s="145"/>
      <c r="D30" s="146"/>
      <c r="E30" s="146"/>
      <c r="F30" s="142" t="s">
        <v>18</v>
      </c>
      <c r="G30" s="143"/>
      <c r="I30" s="271"/>
      <c r="J30" s="78" t="s">
        <v>306</v>
      </c>
      <c r="K30" s="255">
        <f>세출!D82</f>
        <v>146000</v>
      </c>
      <c r="L30" s="255">
        <f>세출!E82</f>
        <v>248000</v>
      </c>
      <c r="M30" s="252">
        <f t="shared" si="6"/>
        <v>102000</v>
      </c>
      <c r="N30" s="147">
        <f>M30/K30*100</f>
        <v>69.86301369863014</v>
      </c>
    </row>
    <row r="31" spans="1:14" ht="13.5" customHeight="1">
      <c r="A31" s="144"/>
      <c r="B31" s="145"/>
      <c r="C31" s="145"/>
      <c r="D31" s="146"/>
      <c r="E31" s="141"/>
      <c r="F31" s="148"/>
      <c r="G31" s="147"/>
      <c r="I31" s="269"/>
      <c r="J31" s="78" t="s">
        <v>150</v>
      </c>
      <c r="K31" s="256">
        <f>세출!D86</f>
        <v>58050000</v>
      </c>
      <c r="L31" s="256">
        <f>세출!E86</f>
        <v>58050000</v>
      </c>
      <c r="M31" s="256">
        <f t="shared" si="6"/>
        <v>0</v>
      </c>
      <c r="N31" s="147">
        <v>0</v>
      </c>
    </row>
    <row r="32" spans="1:14" ht="13.5" customHeight="1">
      <c r="A32" s="144"/>
      <c r="B32" s="145"/>
      <c r="C32" s="145"/>
      <c r="D32" s="146"/>
      <c r="E32" s="141"/>
      <c r="F32" s="148"/>
      <c r="G32" s="147"/>
      <c r="H32" s="357" t="s">
        <v>263</v>
      </c>
      <c r="I32" s="355"/>
      <c r="J32" s="356"/>
      <c r="K32" s="257">
        <f>세출!D104</f>
        <v>0</v>
      </c>
      <c r="L32" s="257">
        <f>세출!E104</f>
        <v>0</v>
      </c>
      <c r="M32" s="256">
        <f t="shared" si="6"/>
        <v>0</v>
      </c>
      <c r="N32" s="147">
        <v>0</v>
      </c>
    </row>
    <row r="33" spans="1:14" ht="13.5" customHeight="1">
      <c r="A33" s="144"/>
      <c r="B33" s="145"/>
      <c r="C33" s="145"/>
      <c r="D33" s="146"/>
      <c r="E33" s="141"/>
      <c r="F33" s="148"/>
      <c r="G33" s="147"/>
      <c r="H33" s="357" t="s">
        <v>264</v>
      </c>
      <c r="I33" s="362"/>
      <c r="J33" s="359"/>
      <c r="K33" s="252">
        <f>K34</f>
        <v>95915</v>
      </c>
      <c r="L33" s="252">
        <f>세출!E108</f>
        <v>454581</v>
      </c>
      <c r="M33" s="253">
        <f t="shared" si="6"/>
        <v>358666</v>
      </c>
      <c r="N33" s="143">
        <f>M33/K33*100</f>
        <v>373.9415107126101</v>
      </c>
    </row>
    <row r="34" spans="1:14" ht="13.5" customHeight="1" thickBot="1">
      <c r="A34" s="149"/>
      <c r="B34" s="150"/>
      <c r="C34" s="150"/>
      <c r="D34" s="151"/>
      <c r="E34" s="152"/>
      <c r="F34" s="153"/>
      <c r="G34" s="154"/>
      <c r="H34" s="155"/>
      <c r="I34" s="363" t="s">
        <v>265</v>
      </c>
      <c r="J34" s="364"/>
      <c r="K34" s="258">
        <f>세출!D110</f>
        <v>95915</v>
      </c>
      <c r="L34" s="258">
        <f>세출!E110</f>
        <v>454581</v>
      </c>
      <c r="M34" s="258">
        <f t="shared" si="6"/>
        <v>358666</v>
      </c>
      <c r="N34" s="154">
        <f>M34/K34*100</f>
        <v>373.9415107126101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40">
    <mergeCell ref="B13:C13"/>
    <mergeCell ref="I13:J13"/>
    <mergeCell ref="A5:C5"/>
    <mergeCell ref="H5:J5"/>
    <mergeCell ref="A6:C6"/>
    <mergeCell ref="H6:J6"/>
    <mergeCell ref="I7:J7"/>
    <mergeCell ref="A12:C12"/>
    <mergeCell ref="A2:G2"/>
    <mergeCell ref="H2:N2"/>
    <mergeCell ref="M3:N3"/>
    <mergeCell ref="J3:J4"/>
    <mergeCell ref="I3:I4"/>
    <mergeCell ref="B7:C7"/>
    <mergeCell ref="M1:N1"/>
    <mergeCell ref="A3:A4"/>
    <mergeCell ref="B3:B4"/>
    <mergeCell ref="C3:C4"/>
    <mergeCell ref="D3:D4"/>
    <mergeCell ref="E3:E4"/>
    <mergeCell ref="K3:K4"/>
    <mergeCell ref="F3:G3"/>
    <mergeCell ref="H3:H4"/>
    <mergeCell ref="L3:L4"/>
    <mergeCell ref="B25:C25"/>
    <mergeCell ref="H33:J33"/>
    <mergeCell ref="I34:J34"/>
    <mergeCell ref="A21:C21"/>
    <mergeCell ref="B22:C22"/>
    <mergeCell ref="A24:C24"/>
    <mergeCell ref="A11:C11"/>
    <mergeCell ref="H32:J32"/>
    <mergeCell ref="B19:C19"/>
    <mergeCell ref="H22:J22"/>
    <mergeCell ref="I23:J23"/>
    <mergeCell ref="B16:C16"/>
    <mergeCell ref="A18:C18"/>
    <mergeCell ref="H18:J18"/>
    <mergeCell ref="I19:J19"/>
    <mergeCell ref="A15:C15"/>
  </mergeCells>
  <printOptions horizontalCentered="1"/>
  <pageMargins left="0.7480314960629921" right="0.7480314960629921" top="0.8661417322834646" bottom="0.5905511811023623" header="0.5118110236220472" footer="0.5118110236220472"/>
  <pageSetup horizontalDpi="600" verticalDpi="600" orientation="landscape" paperSize="9" r:id="rId1"/>
  <headerFooter alignWithMargins="0">
    <oddHeader>&amp;C&amp;"돋움,굵게"&amp;20 2013년도 송파시각장애인정보문화센터 세입, 세출총괄표(안)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D1">
      <selection activeCell="E9" sqref="E9"/>
    </sheetView>
  </sheetViews>
  <sheetFormatPr defaultColWidth="2.77734375" defaultRowHeight="15" customHeight="1"/>
  <cols>
    <col min="1" max="1" width="2.88671875" style="8" customWidth="1"/>
    <col min="2" max="2" width="3.10546875" style="8" customWidth="1"/>
    <col min="3" max="3" width="10.3359375" style="8" customWidth="1"/>
    <col min="4" max="4" width="12.21484375" style="8" customWidth="1"/>
    <col min="5" max="5" width="10.99609375" style="8" customWidth="1"/>
    <col min="6" max="6" width="9.6640625" style="8" customWidth="1"/>
    <col min="7" max="7" width="9.21484375" style="9" customWidth="1"/>
    <col min="8" max="8" width="15.10546875" style="8" customWidth="1"/>
    <col min="9" max="9" width="10.77734375" style="10" customWidth="1"/>
    <col min="10" max="10" width="1.77734375" style="8" customWidth="1"/>
    <col min="11" max="11" width="5.77734375" style="8" customWidth="1"/>
    <col min="12" max="13" width="1.77734375" style="8" customWidth="1"/>
    <col min="14" max="14" width="15.10546875" style="10" customWidth="1"/>
    <col min="15" max="15" width="22.77734375" style="8" customWidth="1"/>
    <col min="16" max="19" width="18.6640625" style="8" customWidth="1"/>
    <col min="20" max="16384" width="2.77734375" style="8" customWidth="1"/>
  </cols>
  <sheetData>
    <row r="1" spans="1:14" s="7" customFormat="1" ht="22.5">
      <c r="A1" s="380" t="s">
        <v>246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</row>
    <row r="2" ht="16.5" customHeight="1" thickBot="1">
      <c r="N2" s="10" t="s">
        <v>14</v>
      </c>
    </row>
    <row r="3" spans="1:14" ht="18" customHeight="1">
      <c r="A3" s="381" t="s">
        <v>1</v>
      </c>
      <c r="B3" s="382" t="s">
        <v>2</v>
      </c>
      <c r="C3" s="382" t="s">
        <v>3</v>
      </c>
      <c r="D3" s="383" t="s">
        <v>244</v>
      </c>
      <c r="E3" s="383" t="s">
        <v>247</v>
      </c>
      <c r="F3" s="384" t="s">
        <v>4</v>
      </c>
      <c r="G3" s="385"/>
      <c r="H3" s="384" t="s">
        <v>28</v>
      </c>
      <c r="I3" s="386"/>
      <c r="J3" s="386"/>
      <c r="K3" s="386"/>
      <c r="L3" s="386"/>
      <c r="M3" s="386"/>
      <c r="N3" s="387"/>
    </row>
    <row r="4" spans="1:14" ht="16.5" customHeight="1" thickBot="1">
      <c r="A4" s="367"/>
      <c r="B4" s="369"/>
      <c r="C4" s="369"/>
      <c r="D4" s="371"/>
      <c r="E4" s="371"/>
      <c r="F4" s="84" t="s">
        <v>5</v>
      </c>
      <c r="G4" s="85" t="s">
        <v>6</v>
      </c>
      <c r="H4" s="388"/>
      <c r="I4" s="389"/>
      <c r="J4" s="389"/>
      <c r="K4" s="389"/>
      <c r="L4" s="389"/>
      <c r="M4" s="389"/>
      <c r="N4" s="390"/>
    </row>
    <row r="5" spans="1:14" s="11" customFormat="1" ht="19.5" customHeight="1">
      <c r="A5" s="391" t="s">
        <v>54</v>
      </c>
      <c r="B5" s="392"/>
      <c r="C5" s="393"/>
      <c r="D5" s="86">
        <f>SUM(D6+D11+D14+D17+D20+D25+D10)</f>
        <v>125253</v>
      </c>
      <c r="E5" s="86">
        <f>SUM(E6+E11+E14+E17+E20+E25+E10)</f>
        <v>129248</v>
      </c>
      <c r="F5" s="87">
        <f>E5-D5</f>
        <v>3995</v>
      </c>
      <c r="G5" s="88">
        <f>F5/D5*100</f>
        <v>3.1895443622108854</v>
      </c>
      <c r="H5" s="394">
        <f>N6+N11+N17+N20+N10</f>
        <v>129247871</v>
      </c>
      <c r="I5" s="395"/>
      <c r="J5" s="395"/>
      <c r="K5" s="395"/>
      <c r="L5" s="395"/>
      <c r="M5" s="395"/>
      <c r="N5" s="396"/>
    </row>
    <row r="6" spans="1:14" s="11" customFormat="1" ht="18.75" customHeight="1">
      <c r="A6" s="397" t="s">
        <v>55</v>
      </c>
      <c r="B6" s="398"/>
      <c r="C6" s="399"/>
      <c r="D6" s="89">
        <f>SUM(D7)</f>
        <v>125050</v>
      </c>
      <c r="E6" s="89">
        <f>SUM(E7)</f>
        <v>125050</v>
      </c>
      <c r="F6" s="90">
        <f aca="true" t="shared" si="0" ref="F6:F25">E6-D6</f>
        <v>0</v>
      </c>
      <c r="G6" s="91">
        <f>F6/D6*100</f>
        <v>0</v>
      </c>
      <c r="H6" s="92" t="s">
        <v>56</v>
      </c>
      <c r="I6" s="93"/>
      <c r="J6" s="94"/>
      <c r="K6" s="94"/>
      <c r="L6" s="94"/>
      <c r="M6" s="94"/>
      <c r="N6" s="95">
        <f>N7</f>
        <v>125050000</v>
      </c>
    </row>
    <row r="7" spans="1:14" s="11" customFormat="1" ht="16.5" customHeight="1">
      <c r="A7" s="96"/>
      <c r="B7" s="400" t="s">
        <v>274</v>
      </c>
      <c r="C7" s="401"/>
      <c r="D7" s="97">
        <f>SUM(D8:D9)</f>
        <v>125050</v>
      </c>
      <c r="E7" s="97">
        <f>SUM(E8:E9)</f>
        <v>125050</v>
      </c>
      <c r="F7" s="98">
        <f t="shared" si="0"/>
        <v>0</v>
      </c>
      <c r="G7" s="99">
        <f>F7/D7*100</f>
        <v>0</v>
      </c>
      <c r="H7" s="100" t="s">
        <v>57</v>
      </c>
      <c r="I7" s="101"/>
      <c r="J7" s="102"/>
      <c r="K7" s="102"/>
      <c r="L7" s="102"/>
      <c r="M7" s="102"/>
      <c r="N7" s="103">
        <f>SUM(N8:N9)</f>
        <v>125050000</v>
      </c>
    </row>
    <row r="8" spans="1:17" ht="16.5" customHeight="1">
      <c r="A8" s="104"/>
      <c r="B8" s="66"/>
      <c r="C8" s="78" t="s">
        <v>249</v>
      </c>
      <c r="D8" s="106">
        <v>67000</v>
      </c>
      <c r="E8" s="106">
        <v>67000</v>
      </c>
      <c r="F8" s="107">
        <f t="shared" si="0"/>
        <v>0</v>
      </c>
      <c r="G8" s="108">
        <f>F8/D8*100</f>
        <v>0</v>
      </c>
      <c r="H8" s="109" t="s">
        <v>58</v>
      </c>
      <c r="I8" s="110"/>
      <c r="J8" s="111"/>
      <c r="K8" s="111"/>
      <c r="L8" s="111"/>
      <c r="M8" s="111"/>
      <c r="N8" s="112">
        <v>67000000</v>
      </c>
      <c r="O8" s="333"/>
      <c r="P8" s="333"/>
      <c r="Q8" s="333"/>
    </row>
    <row r="9" spans="1:17" ht="16.5" customHeight="1">
      <c r="A9" s="104"/>
      <c r="B9" s="113"/>
      <c r="C9" s="78" t="s">
        <v>275</v>
      </c>
      <c r="D9" s="106">
        <v>58050</v>
      </c>
      <c r="E9" s="106">
        <v>58050</v>
      </c>
      <c r="F9" s="107">
        <f t="shared" si="0"/>
        <v>0</v>
      </c>
      <c r="G9" s="108">
        <f>F9/D9*100</f>
        <v>0</v>
      </c>
      <c r="H9" s="109" t="s">
        <v>144</v>
      </c>
      <c r="I9" s="402"/>
      <c r="J9" s="403"/>
      <c r="K9" s="403"/>
      <c r="L9" s="403"/>
      <c r="M9" s="403"/>
      <c r="N9" s="112">
        <v>58050000</v>
      </c>
      <c r="O9" s="333"/>
      <c r="P9" s="333"/>
      <c r="Q9" s="333"/>
    </row>
    <row r="10" spans="1:17" ht="16.5" customHeight="1">
      <c r="A10" s="397" t="s">
        <v>276</v>
      </c>
      <c r="B10" s="398"/>
      <c r="C10" s="399"/>
      <c r="D10" s="89">
        <v>0</v>
      </c>
      <c r="E10" s="89">
        <v>3500</v>
      </c>
      <c r="F10" s="90">
        <f>E10-D10</f>
        <v>3500</v>
      </c>
      <c r="G10" s="91">
        <v>0</v>
      </c>
      <c r="H10" s="123" t="s">
        <v>277</v>
      </c>
      <c r="I10" s="124"/>
      <c r="J10" s="125"/>
      <c r="K10" s="125"/>
      <c r="L10" s="125"/>
      <c r="M10" s="125"/>
      <c r="N10" s="126">
        <v>3500000</v>
      </c>
      <c r="O10" s="338" t="s">
        <v>299</v>
      </c>
      <c r="P10" s="334"/>
      <c r="Q10" s="333"/>
    </row>
    <row r="11" spans="1:17" s="11" customFormat="1" ht="19.5" customHeight="1">
      <c r="A11" s="397" t="s">
        <v>59</v>
      </c>
      <c r="B11" s="398"/>
      <c r="C11" s="399"/>
      <c r="D11" s="89">
        <f>D12</f>
        <v>60</v>
      </c>
      <c r="E11" s="89">
        <f>E12</f>
        <v>620</v>
      </c>
      <c r="F11" s="90">
        <f t="shared" si="0"/>
        <v>560</v>
      </c>
      <c r="G11" s="91">
        <f>F11/D11*100</f>
        <v>933.3333333333334</v>
      </c>
      <c r="H11" s="123" t="s">
        <v>60</v>
      </c>
      <c r="I11" s="124"/>
      <c r="J11" s="125"/>
      <c r="K11" s="125"/>
      <c r="L11" s="125"/>
      <c r="M11" s="125"/>
      <c r="N11" s="126">
        <f>N13</f>
        <v>620000</v>
      </c>
      <c r="O11" s="339" t="s">
        <v>300</v>
      </c>
      <c r="P11" s="335" t="s">
        <v>301</v>
      </c>
      <c r="Q11" s="120">
        <f>1000*1000</f>
        <v>1000000</v>
      </c>
    </row>
    <row r="12" spans="1:17" s="11" customFormat="1" ht="18" customHeight="1">
      <c r="A12" s="96"/>
      <c r="B12" s="400" t="s">
        <v>59</v>
      </c>
      <c r="C12" s="404"/>
      <c r="D12" s="127">
        <f>D13</f>
        <v>60</v>
      </c>
      <c r="E12" s="127">
        <f>E13</f>
        <v>620</v>
      </c>
      <c r="F12" s="128">
        <f t="shared" si="0"/>
        <v>560</v>
      </c>
      <c r="G12" s="129">
        <f>F12/D12*100</f>
        <v>933.3333333333334</v>
      </c>
      <c r="H12" s="405"/>
      <c r="I12" s="406"/>
      <c r="J12" s="406"/>
      <c r="K12" s="406"/>
      <c r="L12" s="406"/>
      <c r="M12" s="406"/>
      <c r="N12" s="407"/>
      <c r="O12" s="339" t="s">
        <v>302</v>
      </c>
      <c r="P12" s="335" t="s">
        <v>303</v>
      </c>
      <c r="Q12" s="120">
        <f>500*500</f>
        <v>250000</v>
      </c>
    </row>
    <row r="13" spans="1:17" ht="19.5" customHeight="1">
      <c r="A13" s="104"/>
      <c r="B13" s="66"/>
      <c r="C13" s="273" t="s">
        <v>253</v>
      </c>
      <c r="D13" s="131">
        <v>60</v>
      </c>
      <c r="E13" s="131">
        <v>620</v>
      </c>
      <c r="F13" s="118">
        <f t="shared" si="0"/>
        <v>560</v>
      </c>
      <c r="G13" s="119">
        <f>F13/D13*100</f>
        <v>933.3333333333334</v>
      </c>
      <c r="H13" s="132" t="s">
        <v>253</v>
      </c>
      <c r="I13" s="121"/>
      <c r="J13" s="120"/>
      <c r="K13" s="120"/>
      <c r="L13" s="120"/>
      <c r="M13" s="120"/>
      <c r="N13" s="122">
        <v>620000</v>
      </c>
      <c r="O13" s="340" t="s">
        <v>304</v>
      </c>
      <c r="P13" s="334"/>
      <c r="Q13" s="333">
        <v>200000</v>
      </c>
    </row>
    <row r="14" spans="1:17" s="11" customFormat="1" ht="18.75" customHeight="1">
      <c r="A14" s="397" t="s">
        <v>61</v>
      </c>
      <c r="B14" s="398"/>
      <c r="C14" s="399"/>
      <c r="D14" s="89">
        <f>D15</f>
        <v>0</v>
      </c>
      <c r="E14" s="89">
        <f>E15</f>
        <v>0</v>
      </c>
      <c r="F14" s="90">
        <f t="shared" si="0"/>
        <v>0</v>
      </c>
      <c r="G14" s="91">
        <v>0</v>
      </c>
      <c r="H14" s="408"/>
      <c r="I14" s="409"/>
      <c r="J14" s="409"/>
      <c r="K14" s="409"/>
      <c r="L14" s="409"/>
      <c r="M14" s="409"/>
      <c r="N14" s="410"/>
      <c r="O14" s="339" t="s">
        <v>305</v>
      </c>
      <c r="P14" s="335"/>
      <c r="Q14" s="120">
        <v>500000</v>
      </c>
    </row>
    <row r="15" spans="1:17" s="11" customFormat="1" ht="19.5" customHeight="1">
      <c r="A15" s="96"/>
      <c r="B15" s="400" t="s">
        <v>61</v>
      </c>
      <c r="C15" s="404"/>
      <c r="D15" s="127">
        <f>D16</f>
        <v>0</v>
      </c>
      <c r="E15" s="127">
        <f>E16</f>
        <v>0</v>
      </c>
      <c r="F15" s="177">
        <f t="shared" si="0"/>
        <v>0</v>
      </c>
      <c r="G15" s="129">
        <v>0</v>
      </c>
      <c r="H15" s="405"/>
      <c r="I15" s="406"/>
      <c r="J15" s="406"/>
      <c r="K15" s="406"/>
      <c r="L15" s="406"/>
      <c r="M15" s="406"/>
      <c r="N15" s="407"/>
      <c r="O15" s="335"/>
      <c r="P15" s="335"/>
      <c r="Q15" s="120">
        <f>SUM(Q11:Q14)</f>
        <v>1950000</v>
      </c>
    </row>
    <row r="16" spans="1:17" ht="18" customHeight="1">
      <c r="A16" s="104"/>
      <c r="B16" s="113"/>
      <c r="C16" s="105" t="s">
        <v>61</v>
      </c>
      <c r="D16" s="117">
        <v>0</v>
      </c>
      <c r="E16" s="117">
        <v>0</v>
      </c>
      <c r="F16" s="178">
        <f t="shared" si="0"/>
        <v>0</v>
      </c>
      <c r="G16" s="119">
        <v>0</v>
      </c>
      <c r="H16" s="411"/>
      <c r="I16" s="412"/>
      <c r="J16" s="412"/>
      <c r="K16" s="412"/>
      <c r="L16" s="412"/>
      <c r="M16" s="412"/>
      <c r="N16" s="413"/>
      <c r="O16" s="334"/>
      <c r="P16" s="334"/>
      <c r="Q16" s="333"/>
    </row>
    <row r="17" spans="1:17" s="11" customFormat="1" ht="18" customHeight="1">
      <c r="A17" s="397" t="s">
        <v>62</v>
      </c>
      <c r="B17" s="398"/>
      <c r="C17" s="399"/>
      <c r="D17" s="181">
        <f>D18</f>
        <v>138</v>
      </c>
      <c r="E17" s="180">
        <f>E18</f>
        <v>73</v>
      </c>
      <c r="F17" s="179">
        <f t="shared" si="0"/>
        <v>-65</v>
      </c>
      <c r="G17" s="91">
        <f>F17/D17*100</f>
        <v>-47.10144927536232</v>
      </c>
      <c r="H17" s="92" t="s">
        <v>63</v>
      </c>
      <c r="I17" s="93"/>
      <c r="J17" s="94"/>
      <c r="K17" s="94"/>
      <c r="L17" s="94"/>
      <c r="M17" s="94"/>
      <c r="N17" s="95">
        <f>N18</f>
        <v>72871</v>
      </c>
      <c r="O17" s="335"/>
      <c r="P17" s="335"/>
      <c r="Q17" s="120"/>
    </row>
    <row r="18" spans="1:17" s="11" customFormat="1" ht="18" customHeight="1">
      <c r="A18" s="96"/>
      <c r="B18" s="400" t="s">
        <v>64</v>
      </c>
      <c r="C18" s="404"/>
      <c r="D18" s="127">
        <f>D19</f>
        <v>138</v>
      </c>
      <c r="E18" s="127">
        <f>E19</f>
        <v>73</v>
      </c>
      <c r="F18" s="177">
        <f t="shared" si="0"/>
        <v>-65</v>
      </c>
      <c r="G18" s="129">
        <f>F18/D18*100</f>
        <v>-47.10144927536232</v>
      </c>
      <c r="H18" s="100" t="s">
        <v>20</v>
      </c>
      <c r="I18" s="101"/>
      <c r="J18" s="102"/>
      <c r="K18" s="102"/>
      <c r="L18" s="102"/>
      <c r="M18" s="102"/>
      <c r="N18" s="103">
        <f>N19</f>
        <v>72871</v>
      </c>
      <c r="O18" s="335"/>
      <c r="P18" s="335"/>
      <c r="Q18" s="120"/>
    </row>
    <row r="19" spans="1:17" ht="16.5" customHeight="1">
      <c r="A19" s="104"/>
      <c r="B19" s="66"/>
      <c r="C19" s="130" t="s">
        <v>65</v>
      </c>
      <c r="D19" s="106">
        <v>138</v>
      </c>
      <c r="E19" s="106">
        <v>73</v>
      </c>
      <c r="F19" s="178">
        <f t="shared" si="0"/>
        <v>-65</v>
      </c>
      <c r="G19" s="119">
        <f>F19/D19*100</f>
        <v>-47.10144927536232</v>
      </c>
      <c r="H19" s="414" t="s">
        <v>278</v>
      </c>
      <c r="I19" s="415"/>
      <c r="J19" s="415"/>
      <c r="K19" s="415"/>
      <c r="L19" s="415"/>
      <c r="M19" s="415"/>
      <c r="N19" s="122">
        <v>72871</v>
      </c>
      <c r="O19" s="334"/>
      <c r="P19" s="334"/>
      <c r="Q19" s="333"/>
    </row>
    <row r="20" spans="1:17" s="11" customFormat="1" ht="18.75" customHeight="1">
      <c r="A20" s="397" t="s">
        <v>66</v>
      </c>
      <c r="B20" s="398"/>
      <c r="C20" s="399"/>
      <c r="D20" s="181">
        <f>D21</f>
        <v>5</v>
      </c>
      <c r="E20" s="181">
        <f>E21</f>
        <v>5</v>
      </c>
      <c r="F20" s="179">
        <f t="shared" si="0"/>
        <v>0</v>
      </c>
      <c r="G20" s="91">
        <v>0</v>
      </c>
      <c r="H20" s="123" t="s">
        <v>67</v>
      </c>
      <c r="I20" s="124"/>
      <c r="J20" s="125"/>
      <c r="K20" s="125"/>
      <c r="L20" s="125"/>
      <c r="M20" s="125"/>
      <c r="N20" s="126">
        <f>N21</f>
        <v>5000</v>
      </c>
      <c r="O20" s="335"/>
      <c r="P20" s="336"/>
      <c r="Q20" s="337"/>
    </row>
    <row r="21" spans="1:17" s="11" customFormat="1" ht="18" customHeight="1">
      <c r="A21" s="96"/>
      <c r="B21" s="400" t="s">
        <v>68</v>
      </c>
      <c r="C21" s="404"/>
      <c r="D21" s="127">
        <f>D22</f>
        <v>5</v>
      </c>
      <c r="E21" s="127">
        <f>E22</f>
        <v>5</v>
      </c>
      <c r="F21" s="177">
        <f t="shared" si="0"/>
        <v>0</v>
      </c>
      <c r="G21" s="129">
        <v>0</v>
      </c>
      <c r="H21" s="100" t="s">
        <v>69</v>
      </c>
      <c r="I21" s="101"/>
      <c r="J21" s="102"/>
      <c r="K21" s="102"/>
      <c r="L21" s="102"/>
      <c r="M21" s="102"/>
      <c r="N21" s="103">
        <f>SUM(N22:N24)</f>
        <v>5000</v>
      </c>
      <c r="O21" s="335"/>
      <c r="P21" s="336"/>
      <c r="Q21" s="337"/>
    </row>
    <row r="22" spans="1:17" ht="18.75" customHeight="1">
      <c r="A22" s="104"/>
      <c r="B22" s="113"/>
      <c r="C22" s="416" t="s">
        <v>70</v>
      </c>
      <c r="D22" s="419">
        <v>5</v>
      </c>
      <c r="E22" s="419">
        <v>5</v>
      </c>
      <c r="F22" s="422">
        <f t="shared" si="0"/>
        <v>0</v>
      </c>
      <c r="G22" s="425">
        <v>0</v>
      </c>
      <c r="H22" s="213" t="s">
        <v>156</v>
      </c>
      <c r="I22" s="115"/>
      <c r="J22" s="111"/>
      <c r="K22" s="111"/>
      <c r="L22" s="111"/>
      <c r="M22" s="133"/>
      <c r="N22" s="112">
        <v>2000</v>
      </c>
      <c r="O22" s="334"/>
      <c r="P22" s="334"/>
      <c r="Q22" s="333"/>
    </row>
    <row r="23" spans="1:17" ht="18.75" customHeight="1">
      <c r="A23" s="104"/>
      <c r="B23" s="113"/>
      <c r="C23" s="417"/>
      <c r="D23" s="420"/>
      <c r="E23" s="420"/>
      <c r="F23" s="423"/>
      <c r="G23" s="420"/>
      <c r="H23" s="213" t="s">
        <v>157</v>
      </c>
      <c r="I23" s="214"/>
      <c r="J23" s="215"/>
      <c r="K23" s="215"/>
      <c r="L23" s="215"/>
      <c r="M23" s="216"/>
      <c r="N23" s="217">
        <v>3000</v>
      </c>
      <c r="O23" s="334"/>
      <c r="P23" s="334"/>
      <c r="Q23" s="333"/>
    </row>
    <row r="24" spans="1:14" ht="18.75" customHeight="1">
      <c r="A24" s="220"/>
      <c r="B24" s="116"/>
      <c r="C24" s="418"/>
      <c r="D24" s="421"/>
      <c r="E24" s="421"/>
      <c r="F24" s="424"/>
      <c r="G24" s="421"/>
      <c r="H24" s="213" t="s">
        <v>158</v>
      </c>
      <c r="I24" s="214"/>
      <c r="J24" s="215"/>
      <c r="K24" s="215"/>
      <c r="L24" s="215"/>
      <c r="M24" s="216"/>
      <c r="N24" s="217">
        <v>0</v>
      </c>
    </row>
    <row r="25" spans="1:14" s="11" customFormat="1" ht="18.75" customHeight="1" thickBot="1">
      <c r="A25" s="426" t="s">
        <v>258</v>
      </c>
      <c r="B25" s="427"/>
      <c r="C25" s="428"/>
      <c r="D25" s="134">
        <v>0</v>
      </c>
      <c r="E25" s="134">
        <v>0</v>
      </c>
      <c r="F25" s="218">
        <f t="shared" si="0"/>
        <v>0</v>
      </c>
      <c r="G25" s="219">
        <v>0</v>
      </c>
      <c r="H25" s="135" t="s">
        <v>259</v>
      </c>
      <c r="I25" s="136"/>
      <c r="J25" s="136"/>
      <c r="K25" s="136"/>
      <c r="L25" s="136"/>
      <c r="M25" s="136"/>
      <c r="N25" s="137"/>
    </row>
    <row r="26" ht="15" customHeight="1">
      <c r="O26" s="8" t="s">
        <v>18</v>
      </c>
    </row>
    <row r="27" ht="15" customHeight="1"/>
    <row r="28" ht="15" customHeight="1"/>
    <row r="29" ht="15" customHeight="1"/>
    <row r="30" ht="15" customHeight="1">
      <c r="N30" s="10" t="s">
        <v>18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</sheetData>
  <sheetProtection/>
  <mergeCells count="33">
    <mergeCell ref="C22:C24"/>
    <mergeCell ref="D22:D24"/>
    <mergeCell ref="E22:E24"/>
    <mergeCell ref="F22:F24"/>
    <mergeCell ref="G22:G24"/>
    <mergeCell ref="A25:C25"/>
    <mergeCell ref="H16:N16"/>
    <mergeCell ref="A17:C17"/>
    <mergeCell ref="B18:C18"/>
    <mergeCell ref="H19:M19"/>
    <mergeCell ref="A20:C20"/>
    <mergeCell ref="B21:C21"/>
    <mergeCell ref="B12:C12"/>
    <mergeCell ref="H12:N12"/>
    <mergeCell ref="A14:C14"/>
    <mergeCell ref="H14:N14"/>
    <mergeCell ref="B15:C15"/>
    <mergeCell ref="H15:N15"/>
    <mergeCell ref="A5:C5"/>
    <mergeCell ref="H5:N5"/>
    <mergeCell ref="A6:C6"/>
    <mergeCell ref="B7:C7"/>
    <mergeCell ref="I9:M9"/>
    <mergeCell ref="A11:C11"/>
    <mergeCell ref="A10:C10"/>
    <mergeCell ref="A1:N1"/>
    <mergeCell ref="A3:A4"/>
    <mergeCell ref="B3:B4"/>
    <mergeCell ref="C3:C4"/>
    <mergeCell ref="D3:D4"/>
    <mergeCell ref="E3:E4"/>
    <mergeCell ref="F3:G3"/>
    <mergeCell ref="H3:N4"/>
  </mergeCells>
  <printOptions horizontalCentered="1" verticalCentered="1"/>
  <pageMargins left="0.2755905511811024" right="0.11811023622047245" top="0.984251968503937" bottom="0.8267716535433072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0"/>
  <sheetViews>
    <sheetView view="pageLayout" workbookViewId="0" topLeftCell="B1">
      <selection activeCell="G1" sqref="G1"/>
    </sheetView>
  </sheetViews>
  <sheetFormatPr defaultColWidth="8.88671875" defaultRowHeight="18.75" customHeight="1"/>
  <cols>
    <col min="1" max="1" width="4.10546875" style="0" customWidth="1"/>
    <col min="2" max="2" width="4.21484375" style="0" customWidth="1"/>
    <col min="3" max="3" width="10.5546875" style="0" customWidth="1"/>
    <col min="4" max="4" width="11.5546875" style="0" customWidth="1"/>
    <col min="5" max="5" width="11.10546875" style="0" customWidth="1"/>
    <col min="6" max="6" width="7.6640625" style="0" customWidth="1"/>
    <col min="7" max="7" width="9.3359375" style="0" customWidth="1"/>
    <col min="8" max="8" width="17.3359375" style="0" customWidth="1"/>
    <col min="9" max="9" width="10.21484375" style="0" customWidth="1"/>
    <col min="10" max="11" width="3.4453125" style="0" customWidth="1"/>
    <col min="12" max="12" width="5.4453125" style="0" customWidth="1"/>
    <col min="13" max="13" width="4.10546875" style="0" customWidth="1"/>
    <col min="14" max="14" width="3.21484375" style="0" customWidth="1"/>
    <col min="15" max="15" width="10.3359375" style="0" customWidth="1"/>
    <col min="16" max="16" width="16.4453125" style="0" customWidth="1"/>
    <col min="17" max="17" width="15.3359375" style="0" customWidth="1"/>
    <col min="18" max="18" width="16.21484375" style="0" customWidth="1"/>
    <col min="19" max="19" width="9.77734375" style="0" customWidth="1"/>
    <col min="20" max="20" width="9.21484375" style="0" bestFit="1" customWidth="1"/>
  </cols>
  <sheetData>
    <row r="1" spans="1:15" ht="18.75" customHeight="1" thickBot="1">
      <c r="A1" s="12"/>
      <c r="B1" s="13"/>
      <c r="C1" s="13"/>
      <c r="D1" s="13"/>
      <c r="E1" s="13"/>
      <c r="F1" s="13"/>
      <c r="G1" s="14"/>
      <c r="H1" s="13"/>
      <c r="I1" s="15"/>
      <c r="J1" s="13"/>
      <c r="K1" s="13"/>
      <c r="L1" s="13"/>
      <c r="M1" s="13"/>
      <c r="N1" s="13"/>
      <c r="O1" s="15" t="s">
        <v>7</v>
      </c>
    </row>
    <row r="2" spans="1:19" ht="16.5" customHeight="1">
      <c r="A2" s="466" t="s">
        <v>115</v>
      </c>
      <c r="B2" s="468" t="s">
        <v>116</v>
      </c>
      <c r="C2" s="468" t="s">
        <v>117</v>
      </c>
      <c r="D2" s="452" t="s">
        <v>244</v>
      </c>
      <c r="E2" s="452" t="s">
        <v>245</v>
      </c>
      <c r="F2" s="454" t="s">
        <v>118</v>
      </c>
      <c r="G2" s="455"/>
      <c r="H2" s="454" t="s">
        <v>119</v>
      </c>
      <c r="I2" s="456"/>
      <c r="J2" s="456"/>
      <c r="K2" s="456"/>
      <c r="L2" s="456"/>
      <c r="M2" s="456"/>
      <c r="N2" s="456"/>
      <c r="O2" s="457"/>
      <c r="R2" t="s">
        <v>298</v>
      </c>
      <c r="S2">
        <v>750000</v>
      </c>
    </row>
    <row r="3" spans="1:15" ht="16.5" customHeight="1" thickBot="1">
      <c r="A3" s="467"/>
      <c r="B3" s="469"/>
      <c r="C3" s="469"/>
      <c r="D3" s="469"/>
      <c r="E3" s="469"/>
      <c r="F3" s="18" t="s">
        <v>120</v>
      </c>
      <c r="G3" s="19" t="s">
        <v>121</v>
      </c>
      <c r="H3" s="458"/>
      <c r="I3" s="459"/>
      <c r="J3" s="459"/>
      <c r="K3" s="459"/>
      <c r="L3" s="459"/>
      <c r="M3" s="459"/>
      <c r="N3" s="459"/>
      <c r="O3" s="460"/>
    </row>
    <row r="4" spans="1:17" ht="16.5" customHeight="1">
      <c r="A4" s="470" t="s">
        <v>101</v>
      </c>
      <c r="B4" s="471"/>
      <c r="C4" s="472"/>
      <c r="D4" s="232">
        <f>D5+D62+D68+D102+D105+D108</f>
        <v>125252915</v>
      </c>
      <c r="E4" s="232">
        <f>E5+E62+E68+E102+E105+E108</f>
        <v>129247871</v>
      </c>
      <c r="F4" s="232">
        <f>E4-D4</f>
        <v>3994956</v>
      </c>
      <c r="G4" s="236">
        <f>F4/D4*100</f>
        <v>3.1895113977986065</v>
      </c>
      <c r="H4" s="196"/>
      <c r="I4" s="197"/>
      <c r="J4" s="20"/>
      <c r="K4" s="20"/>
      <c r="L4" s="20"/>
      <c r="M4" s="20"/>
      <c r="N4" s="20"/>
      <c r="O4" s="159">
        <f>O5+O62+O68+O102+O105+O108</f>
        <v>129247871</v>
      </c>
      <c r="P4" s="171">
        <f>세입!H5</f>
        <v>129247871</v>
      </c>
      <c r="Q4" s="183">
        <f>P4-O4</f>
        <v>0</v>
      </c>
    </row>
    <row r="5" spans="1:17" ht="16.5" customHeight="1">
      <c r="A5" s="447" t="s">
        <v>102</v>
      </c>
      <c r="B5" s="448"/>
      <c r="C5" s="449"/>
      <c r="D5" s="231">
        <f>D6+D47</f>
        <v>65115800</v>
      </c>
      <c r="E5" s="231">
        <f>E6+E47</f>
        <v>69875290</v>
      </c>
      <c r="F5" s="231">
        <f>E5-D5</f>
        <v>4759490</v>
      </c>
      <c r="G5" s="237">
        <f>F5/D5*100</f>
        <v>7.309270561061985</v>
      </c>
      <c r="H5" s="21" t="s">
        <v>103</v>
      </c>
      <c r="I5" s="22"/>
      <c r="J5" s="22"/>
      <c r="K5" s="22"/>
      <c r="L5" s="22"/>
      <c r="M5" s="22"/>
      <c r="N5" s="22"/>
      <c r="O5" s="160">
        <f>O6+O47</f>
        <v>69875290</v>
      </c>
      <c r="Q5" s="171"/>
    </row>
    <row r="6" spans="1:18" ht="16.5" customHeight="1">
      <c r="A6" s="483"/>
      <c r="B6" s="479" t="s">
        <v>104</v>
      </c>
      <c r="C6" s="480"/>
      <c r="D6" s="230">
        <f>D7+D11+D19+D40+D42</f>
        <v>63870380</v>
      </c>
      <c r="E6" s="230">
        <f>O6</f>
        <v>69052180</v>
      </c>
      <c r="F6" s="230">
        <f>E6-D6</f>
        <v>5181800</v>
      </c>
      <c r="G6" s="238">
        <f>F6/D6*100</f>
        <v>8.11299384785248</v>
      </c>
      <c r="H6" s="23"/>
      <c r="I6" s="24"/>
      <c r="J6" s="24"/>
      <c r="K6" s="24"/>
      <c r="L6" s="24"/>
      <c r="M6" s="24"/>
      <c r="N6" s="24"/>
      <c r="O6" s="161">
        <f>O7+O11+O19+O40+O42</f>
        <v>69052180</v>
      </c>
      <c r="Q6" s="332">
        <v>67000000</v>
      </c>
      <c r="R6" s="171">
        <f>Q6-O6</f>
        <v>-2052180</v>
      </c>
    </row>
    <row r="7" spans="1:15" ht="16.5" customHeight="1">
      <c r="A7" s="484"/>
      <c r="B7" s="435"/>
      <c r="C7" s="435" t="s">
        <v>267</v>
      </c>
      <c r="D7" s="473">
        <v>27501000</v>
      </c>
      <c r="E7" s="476">
        <f>O7</f>
        <v>29319000</v>
      </c>
      <c r="F7" s="441">
        <f>E7-D7</f>
        <v>1818000</v>
      </c>
      <c r="G7" s="492">
        <v>6.6</v>
      </c>
      <c r="H7" s="201" t="s">
        <v>288</v>
      </c>
      <c r="I7" s="26"/>
      <c r="J7" s="27"/>
      <c r="K7" s="27"/>
      <c r="L7" s="27"/>
      <c r="M7" s="27"/>
      <c r="N7" s="27"/>
      <c r="O7" s="28">
        <f>SUM(O8:O10)</f>
        <v>29319000</v>
      </c>
    </row>
    <row r="8" spans="1:17" ht="16.5" customHeight="1">
      <c r="A8" s="484"/>
      <c r="B8" s="481"/>
      <c r="C8" s="481"/>
      <c r="D8" s="474"/>
      <c r="E8" s="477"/>
      <c r="F8" s="463"/>
      <c r="G8" s="493"/>
      <c r="H8" s="204" t="s">
        <v>164</v>
      </c>
      <c r="I8" s="30">
        <v>1313000</v>
      </c>
      <c r="J8" s="31" t="s">
        <v>105</v>
      </c>
      <c r="K8" s="31"/>
      <c r="L8" s="31">
        <v>9</v>
      </c>
      <c r="M8" s="31" t="s">
        <v>106</v>
      </c>
      <c r="N8" s="32" t="s">
        <v>107</v>
      </c>
      <c r="O8" s="33">
        <f>I8*L8</f>
        <v>11817000</v>
      </c>
      <c r="Q8" t="s">
        <v>98</v>
      </c>
    </row>
    <row r="9" spans="1:15" ht="16.5" customHeight="1">
      <c r="A9" s="484"/>
      <c r="B9" s="481"/>
      <c r="C9" s="482"/>
      <c r="D9" s="475"/>
      <c r="E9" s="478"/>
      <c r="F9" s="464"/>
      <c r="G9" s="493"/>
      <c r="H9" s="204" t="s">
        <v>287</v>
      </c>
      <c r="I9" s="30">
        <v>1346000</v>
      </c>
      <c r="J9" s="31" t="s">
        <v>105</v>
      </c>
      <c r="K9" s="31"/>
      <c r="L9" s="31">
        <v>3</v>
      </c>
      <c r="M9" s="31" t="s">
        <v>106</v>
      </c>
      <c r="N9" s="32" t="s">
        <v>107</v>
      </c>
      <c r="O9" s="33">
        <f>I9*L9</f>
        <v>4038000</v>
      </c>
    </row>
    <row r="10" spans="1:15" ht="16.5" customHeight="1">
      <c r="A10" s="484"/>
      <c r="B10" s="481"/>
      <c r="C10" s="482"/>
      <c r="D10" s="475"/>
      <c r="E10" s="478"/>
      <c r="F10" s="464"/>
      <c r="G10" s="493"/>
      <c r="H10" s="204" t="s">
        <v>286</v>
      </c>
      <c r="I10" s="30">
        <v>1122000</v>
      </c>
      <c r="J10" s="31" t="s">
        <v>31</v>
      </c>
      <c r="K10" s="31"/>
      <c r="L10" s="31">
        <v>12</v>
      </c>
      <c r="M10" s="31" t="s">
        <v>32</v>
      </c>
      <c r="N10" s="32" t="s">
        <v>33</v>
      </c>
      <c r="O10" s="33">
        <f>I10*L10</f>
        <v>13464000</v>
      </c>
    </row>
    <row r="11" spans="1:17" ht="16.5" customHeight="1">
      <c r="A11" s="484"/>
      <c r="B11" s="481"/>
      <c r="C11" s="435" t="s">
        <v>266</v>
      </c>
      <c r="D11" s="486">
        <v>12836600</v>
      </c>
      <c r="E11" s="476">
        <f>O11</f>
        <v>13931600</v>
      </c>
      <c r="F11" s="441">
        <f>E11-D11</f>
        <v>1095000</v>
      </c>
      <c r="G11" s="492">
        <f>F11/D11*100</f>
        <v>8.530296184347879</v>
      </c>
      <c r="H11" s="201" t="s">
        <v>289</v>
      </c>
      <c r="I11" s="26"/>
      <c r="J11" s="27"/>
      <c r="K11" s="27"/>
      <c r="L11" s="27"/>
      <c r="M11" s="27"/>
      <c r="N11" s="185"/>
      <c r="O11" s="28">
        <f>O12+O16</f>
        <v>13931600</v>
      </c>
      <c r="Q11" t="s">
        <v>98</v>
      </c>
    </row>
    <row r="12" spans="1:15" ht="16.5" customHeight="1">
      <c r="A12" s="484"/>
      <c r="B12" s="481"/>
      <c r="C12" s="481"/>
      <c r="D12" s="487"/>
      <c r="E12" s="477"/>
      <c r="F12" s="463"/>
      <c r="G12" s="444"/>
      <c r="H12" s="203" t="s">
        <v>108</v>
      </c>
      <c r="I12" s="165"/>
      <c r="J12" s="166"/>
      <c r="K12" s="166"/>
      <c r="L12" s="166"/>
      <c r="M12" s="166"/>
      <c r="N12" s="167"/>
      <c r="O12" s="168">
        <f>SUM(O13:O15)</f>
        <v>9773000</v>
      </c>
    </row>
    <row r="13" spans="1:16" ht="16.5" customHeight="1">
      <c r="A13" s="484"/>
      <c r="B13" s="481"/>
      <c r="C13" s="481"/>
      <c r="D13" s="487"/>
      <c r="E13" s="478"/>
      <c r="F13" s="463"/>
      <c r="G13" s="444"/>
      <c r="H13" s="204" t="s">
        <v>164</v>
      </c>
      <c r="I13" s="30">
        <v>1313000</v>
      </c>
      <c r="J13" s="31" t="s">
        <v>105</v>
      </c>
      <c r="K13" s="31"/>
      <c r="L13" s="31">
        <v>300</v>
      </c>
      <c r="M13" s="31" t="s">
        <v>109</v>
      </c>
      <c r="N13" s="32" t="s">
        <v>107</v>
      </c>
      <c r="O13" s="33">
        <f>I13*L13%</f>
        <v>3939000</v>
      </c>
      <c r="P13" t="s">
        <v>19</v>
      </c>
    </row>
    <row r="14" spans="1:15" ht="16.5" customHeight="1">
      <c r="A14" s="484"/>
      <c r="B14" s="481"/>
      <c r="C14" s="481"/>
      <c r="D14" s="487"/>
      <c r="E14" s="478"/>
      <c r="F14" s="463"/>
      <c r="G14" s="444"/>
      <c r="H14" s="204" t="s">
        <v>287</v>
      </c>
      <c r="I14" s="30">
        <v>1346000</v>
      </c>
      <c r="J14" s="31" t="s">
        <v>105</v>
      </c>
      <c r="K14" s="31"/>
      <c r="L14" s="31">
        <v>100</v>
      </c>
      <c r="M14" s="31" t="s">
        <v>109</v>
      </c>
      <c r="N14" s="32" t="s">
        <v>107</v>
      </c>
      <c r="O14" s="33">
        <f>I14*L14%</f>
        <v>1346000</v>
      </c>
    </row>
    <row r="15" spans="1:15" ht="16.5" customHeight="1">
      <c r="A15" s="484"/>
      <c r="B15" s="481"/>
      <c r="C15" s="481"/>
      <c r="D15" s="487"/>
      <c r="E15" s="478"/>
      <c r="F15" s="463"/>
      <c r="G15" s="444"/>
      <c r="H15" s="204" t="s">
        <v>290</v>
      </c>
      <c r="I15" s="30">
        <v>1122000</v>
      </c>
      <c r="J15" s="31" t="s">
        <v>31</v>
      </c>
      <c r="K15" s="31"/>
      <c r="L15" s="31">
        <v>400</v>
      </c>
      <c r="M15" s="31" t="s">
        <v>109</v>
      </c>
      <c r="N15" s="32" t="s">
        <v>33</v>
      </c>
      <c r="O15" s="33">
        <f>I15*L15%</f>
        <v>4488000</v>
      </c>
    </row>
    <row r="16" spans="1:15" ht="16.5" customHeight="1">
      <c r="A16" s="484"/>
      <c r="B16" s="481"/>
      <c r="C16" s="481"/>
      <c r="D16" s="487"/>
      <c r="E16" s="478"/>
      <c r="F16" s="463"/>
      <c r="G16" s="444"/>
      <c r="H16" s="203" t="s">
        <v>110</v>
      </c>
      <c r="I16" s="165"/>
      <c r="J16" s="166"/>
      <c r="K16" s="166"/>
      <c r="L16" s="166"/>
      <c r="M16" s="166"/>
      <c r="N16" s="167"/>
      <c r="O16" s="168">
        <f>SUM(O17:O18)</f>
        <v>4158600</v>
      </c>
    </row>
    <row r="17" spans="1:15" ht="16.5" customHeight="1">
      <c r="A17" s="484"/>
      <c r="B17" s="481"/>
      <c r="C17" s="481"/>
      <c r="D17" s="487"/>
      <c r="E17" s="478"/>
      <c r="F17" s="463"/>
      <c r="G17" s="444"/>
      <c r="H17" s="204" t="str">
        <f>H8</f>
        <v> - 대리(9호봉)</v>
      </c>
      <c r="I17" s="30">
        <f>I8</f>
        <v>1313000</v>
      </c>
      <c r="J17" s="31" t="s">
        <v>105</v>
      </c>
      <c r="K17" s="31"/>
      <c r="L17" s="31">
        <v>180</v>
      </c>
      <c r="M17" s="31" t="s">
        <v>109</v>
      </c>
      <c r="N17" s="32" t="s">
        <v>107</v>
      </c>
      <c r="O17" s="33">
        <f>I17*L17%</f>
        <v>2363400</v>
      </c>
    </row>
    <row r="18" spans="1:15" ht="16.5" customHeight="1">
      <c r="A18" s="484"/>
      <c r="B18" s="481"/>
      <c r="C18" s="481"/>
      <c r="D18" s="487"/>
      <c r="E18" s="494"/>
      <c r="F18" s="463"/>
      <c r="G18" s="444"/>
      <c r="H18" s="204" t="s">
        <v>162</v>
      </c>
      <c r="I18" s="223">
        <f>I10</f>
        <v>1122000</v>
      </c>
      <c r="J18" s="170" t="s">
        <v>105</v>
      </c>
      <c r="K18" s="170"/>
      <c r="L18" s="31">
        <v>160</v>
      </c>
      <c r="M18" s="31" t="s">
        <v>109</v>
      </c>
      <c r="N18" s="32" t="s">
        <v>107</v>
      </c>
      <c r="O18" s="33">
        <f>I18*L18%</f>
        <v>1795200</v>
      </c>
    </row>
    <row r="19" spans="1:19" ht="16.5" customHeight="1">
      <c r="A19" s="484"/>
      <c r="B19" s="481"/>
      <c r="C19" s="435" t="s">
        <v>111</v>
      </c>
      <c r="D19" s="486">
        <v>14653100</v>
      </c>
      <c r="E19" s="477">
        <f>O19</f>
        <v>15404400</v>
      </c>
      <c r="F19" s="441">
        <f>E19-D19</f>
        <v>751300</v>
      </c>
      <c r="G19" s="429">
        <f>F19/D19*100</f>
        <v>5.127242699497034</v>
      </c>
      <c r="H19" s="205" t="s">
        <v>112</v>
      </c>
      <c r="I19" s="34"/>
      <c r="J19" s="35"/>
      <c r="K19" s="35"/>
      <c r="L19" s="27"/>
      <c r="M19" s="27"/>
      <c r="N19" s="27"/>
      <c r="O19" s="28">
        <f>O20+O22+O24+O26+O33+O37</f>
        <v>15404400</v>
      </c>
      <c r="S19" s="174"/>
    </row>
    <row r="20" spans="1:19" ht="16.5" customHeight="1">
      <c r="A20" s="484"/>
      <c r="B20" s="481"/>
      <c r="C20" s="481"/>
      <c r="D20" s="487"/>
      <c r="E20" s="477"/>
      <c r="F20" s="463"/>
      <c r="G20" s="444"/>
      <c r="H20" s="206" t="s">
        <v>160</v>
      </c>
      <c r="I20" s="165"/>
      <c r="J20" s="166"/>
      <c r="K20" s="166"/>
      <c r="L20" s="166"/>
      <c r="M20" s="166"/>
      <c r="N20" s="167"/>
      <c r="O20" s="168">
        <f>SUM(O21:O21)</f>
        <v>3480000</v>
      </c>
      <c r="S20" s="174"/>
    </row>
    <row r="21" spans="1:19" ht="16.5" customHeight="1">
      <c r="A21" s="484"/>
      <c r="B21" s="481"/>
      <c r="C21" s="481"/>
      <c r="D21" s="487"/>
      <c r="E21" s="477"/>
      <c r="F21" s="463"/>
      <c r="G21" s="444"/>
      <c r="H21" s="207" t="s">
        <v>291</v>
      </c>
      <c r="I21" s="31">
        <v>290000</v>
      </c>
      <c r="J21" s="31" t="s">
        <v>105</v>
      </c>
      <c r="K21" s="31"/>
      <c r="L21" s="31">
        <v>12</v>
      </c>
      <c r="M21" s="31" t="s">
        <v>106</v>
      </c>
      <c r="N21" s="32" t="s">
        <v>107</v>
      </c>
      <c r="O21" s="33">
        <f>600000+1200000+1680000</f>
        <v>3480000</v>
      </c>
      <c r="S21" s="174"/>
    </row>
    <row r="22" spans="1:19" ht="16.5" customHeight="1">
      <c r="A22" s="484"/>
      <c r="B22" s="481"/>
      <c r="C22" s="481"/>
      <c r="D22" s="487"/>
      <c r="E22" s="478"/>
      <c r="F22" s="463"/>
      <c r="G22" s="444"/>
      <c r="H22" s="206" t="s">
        <v>165</v>
      </c>
      <c r="I22" s="165"/>
      <c r="J22" s="166"/>
      <c r="K22" s="166"/>
      <c r="L22" s="166"/>
      <c r="M22" s="166"/>
      <c r="N22" s="167"/>
      <c r="O22" s="168">
        <f>SUM(O23:O23)</f>
        <v>1440000</v>
      </c>
      <c r="S22" s="174"/>
    </row>
    <row r="23" spans="1:19" ht="16.5" customHeight="1">
      <c r="A23" s="484"/>
      <c r="B23" s="481"/>
      <c r="C23" s="481"/>
      <c r="D23" s="487"/>
      <c r="E23" s="478"/>
      <c r="F23" s="463"/>
      <c r="G23" s="444"/>
      <c r="H23" s="207" t="str">
        <f>H21</f>
        <v> - 대리/사회복지사</v>
      </c>
      <c r="I23" s="31">
        <v>120000</v>
      </c>
      <c r="J23" s="31" t="s">
        <v>105</v>
      </c>
      <c r="K23" s="31"/>
      <c r="L23" s="31">
        <v>12</v>
      </c>
      <c r="M23" s="31" t="s">
        <v>106</v>
      </c>
      <c r="N23" s="32" t="s">
        <v>107</v>
      </c>
      <c r="O23" s="33">
        <f>I23*L23</f>
        <v>1440000</v>
      </c>
      <c r="S23" s="174"/>
    </row>
    <row r="24" spans="1:19" ht="16.5" customHeight="1">
      <c r="A24" s="484"/>
      <c r="B24" s="481"/>
      <c r="C24" s="481"/>
      <c r="D24" s="487"/>
      <c r="E24" s="478"/>
      <c r="F24" s="463"/>
      <c r="G24" s="444"/>
      <c r="H24" s="206" t="s">
        <v>113</v>
      </c>
      <c r="I24" s="165"/>
      <c r="J24" s="166"/>
      <c r="K24" s="166"/>
      <c r="L24" s="166"/>
      <c r="M24" s="166"/>
      <c r="N24" s="167"/>
      <c r="O24" s="168">
        <f>SUM(O25:O25)</f>
        <v>3900000</v>
      </c>
      <c r="S24" s="174"/>
    </row>
    <row r="25" spans="1:19" ht="16.5" customHeight="1">
      <c r="A25" s="484"/>
      <c r="B25" s="481"/>
      <c r="C25" s="481"/>
      <c r="D25" s="487"/>
      <c r="E25" s="489"/>
      <c r="F25" s="463"/>
      <c r="G25" s="444"/>
      <c r="H25" s="207" t="str">
        <f>H23</f>
        <v> - 대리/사회복지사</v>
      </c>
      <c r="I25" s="31">
        <v>325000</v>
      </c>
      <c r="J25" s="31" t="s">
        <v>105</v>
      </c>
      <c r="K25" s="31"/>
      <c r="L25" s="31">
        <v>12</v>
      </c>
      <c r="M25" s="31" t="s">
        <v>106</v>
      </c>
      <c r="N25" s="32" t="s">
        <v>107</v>
      </c>
      <c r="O25" s="33">
        <f>I25*L25</f>
        <v>3900000</v>
      </c>
      <c r="S25" s="174"/>
    </row>
    <row r="26" spans="1:19" ht="16.5" customHeight="1">
      <c r="A26" s="484"/>
      <c r="B26" s="481"/>
      <c r="C26" s="481"/>
      <c r="D26" s="487"/>
      <c r="E26" s="489"/>
      <c r="F26" s="463"/>
      <c r="G26" s="444"/>
      <c r="H26" s="206" t="s">
        <v>114</v>
      </c>
      <c r="I26" s="165"/>
      <c r="J26" s="166"/>
      <c r="K26" s="166"/>
      <c r="L26" s="166"/>
      <c r="M26" s="166"/>
      <c r="N26" s="167"/>
      <c r="O26" s="168">
        <f>SUM(O27:O29)</f>
        <v>2931900</v>
      </c>
      <c r="S26" s="174"/>
    </row>
    <row r="27" spans="1:15" ht="16.5" customHeight="1">
      <c r="A27" s="484"/>
      <c r="B27" s="481"/>
      <c r="C27" s="481"/>
      <c r="D27" s="487"/>
      <c r="E27" s="489"/>
      <c r="F27" s="463"/>
      <c r="G27" s="444"/>
      <c r="H27" s="204" t="s">
        <v>164</v>
      </c>
      <c r="I27" s="450" t="s">
        <v>295</v>
      </c>
      <c r="J27" s="450"/>
      <c r="K27" s="450"/>
      <c r="L27" s="450"/>
      <c r="M27" s="450"/>
      <c r="N27" s="32" t="s">
        <v>107</v>
      </c>
      <c r="O27" s="33">
        <f>131300*9</f>
        <v>1181700</v>
      </c>
    </row>
    <row r="28" spans="1:15" ht="16.5" customHeight="1">
      <c r="A28" s="484"/>
      <c r="B28" s="481"/>
      <c r="C28" s="481"/>
      <c r="D28" s="487"/>
      <c r="E28" s="489"/>
      <c r="F28" s="463"/>
      <c r="G28" s="444"/>
      <c r="H28" s="204" t="s">
        <v>292</v>
      </c>
      <c r="I28" s="450" t="s">
        <v>294</v>
      </c>
      <c r="J28" s="451"/>
      <c r="K28" s="451"/>
      <c r="L28" s="451"/>
      <c r="M28" s="451"/>
      <c r="N28" s="32" t="s">
        <v>107</v>
      </c>
      <c r="O28" s="33">
        <f>134600*3</f>
        <v>403800</v>
      </c>
    </row>
    <row r="29" spans="1:15" ht="16.5" customHeight="1" thickBot="1">
      <c r="A29" s="485"/>
      <c r="B29" s="438"/>
      <c r="C29" s="438"/>
      <c r="D29" s="488"/>
      <c r="E29" s="490"/>
      <c r="F29" s="491"/>
      <c r="G29" s="465"/>
      <c r="H29" s="260" t="s">
        <v>286</v>
      </c>
      <c r="I29" s="461" t="s">
        <v>293</v>
      </c>
      <c r="J29" s="462"/>
      <c r="K29" s="462"/>
      <c r="L29" s="462"/>
      <c r="M29" s="462"/>
      <c r="N29" s="189" t="s">
        <v>33</v>
      </c>
      <c r="O29" s="190">
        <f>112200*12</f>
        <v>1346400</v>
      </c>
    </row>
    <row r="30" spans="1:15" ht="20.25" customHeight="1" thickBot="1">
      <c r="A30" s="38"/>
      <c r="B30" s="38"/>
      <c r="C30" s="38"/>
      <c r="D30" s="38"/>
      <c r="E30" s="38"/>
      <c r="F30" s="38"/>
      <c r="G30" s="38"/>
      <c r="H30" s="39"/>
      <c r="I30" s="39"/>
      <c r="J30" s="39"/>
      <c r="K30" s="39"/>
      <c r="L30" s="39"/>
      <c r="M30" s="39"/>
      <c r="N30" s="58"/>
      <c r="O30" s="58" t="s">
        <v>7</v>
      </c>
    </row>
    <row r="31" spans="1:15" ht="18" customHeight="1">
      <c r="A31" s="466" t="s">
        <v>115</v>
      </c>
      <c r="B31" s="468" t="s">
        <v>116</v>
      </c>
      <c r="C31" s="468" t="s">
        <v>117</v>
      </c>
      <c r="D31" s="452" t="str">
        <f>D2</f>
        <v>12년 예산(A)</v>
      </c>
      <c r="E31" s="452" t="str">
        <f>E2</f>
        <v>13년 예산(B)</v>
      </c>
      <c r="F31" s="454" t="s">
        <v>118</v>
      </c>
      <c r="G31" s="455"/>
      <c r="H31" s="454" t="s">
        <v>119</v>
      </c>
      <c r="I31" s="456"/>
      <c r="J31" s="456"/>
      <c r="K31" s="456"/>
      <c r="L31" s="456"/>
      <c r="M31" s="456"/>
      <c r="N31" s="456"/>
      <c r="O31" s="457"/>
    </row>
    <row r="32" spans="1:15" ht="18" customHeight="1" thickBot="1">
      <c r="A32" s="467"/>
      <c r="B32" s="469"/>
      <c r="C32" s="469"/>
      <c r="D32" s="453"/>
      <c r="E32" s="453"/>
      <c r="F32" s="18" t="s">
        <v>120</v>
      </c>
      <c r="G32" s="19" t="s">
        <v>121</v>
      </c>
      <c r="H32" s="458"/>
      <c r="I32" s="459"/>
      <c r="J32" s="459"/>
      <c r="K32" s="459"/>
      <c r="L32" s="459"/>
      <c r="M32" s="459"/>
      <c r="N32" s="459"/>
      <c r="O32" s="460"/>
    </row>
    <row r="33" spans="1:15" ht="16.5" customHeight="1">
      <c r="A33" s="500"/>
      <c r="B33" s="495"/>
      <c r="C33" s="559"/>
      <c r="D33" s="561"/>
      <c r="E33" s="561"/>
      <c r="F33" s="561"/>
      <c r="G33" s="443"/>
      <c r="H33" s="203" t="s">
        <v>122</v>
      </c>
      <c r="I33" s="165"/>
      <c r="J33" s="166"/>
      <c r="K33" s="166"/>
      <c r="L33" s="166"/>
      <c r="M33" s="166"/>
      <c r="N33" s="167"/>
      <c r="O33" s="168">
        <f>SUM(O34:O36)</f>
        <v>3652500</v>
      </c>
    </row>
    <row r="34" spans="1:15" ht="16.5" customHeight="1">
      <c r="A34" s="500"/>
      <c r="B34" s="496"/>
      <c r="C34" s="481"/>
      <c r="D34" s="562"/>
      <c r="E34" s="562"/>
      <c r="F34" s="562"/>
      <c r="G34" s="444"/>
      <c r="H34" s="204" t="s">
        <v>164</v>
      </c>
      <c r="I34" s="30">
        <v>1313000</v>
      </c>
      <c r="J34" s="31" t="s">
        <v>105</v>
      </c>
      <c r="K34" s="31"/>
      <c r="L34" s="31">
        <v>150</v>
      </c>
      <c r="M34" s="31" t="s">
        <v>109</v>
      </c>
      <c r="N34" s="32" t="s">
        <v>107</v>
      </c>
      <c r="O34" s="33">
        <f>I34*L34%</f>
        <v>1969500</v>
      </c>
    </row>
    <row r="35" spans="1:15" ht="16.5" customHeight="1">
      <c r="A35" s="500"/>
      <c r="B35" s="496"/>
      <c r="C35" s="481"/>
      <c r="D35" s="562"/>
      <c r="E35" s="562"/>
      <c r="F35" s="562"/>
      <c r="G35" s="444"/>
      <c r="H35" s="204" t="s">
        <v>287</v>
      </c>
      <c r="I35" s="30">
        <v>1346000</v>
      </c>
      <c r="J35" s="31" t="s">
        <v>31</v>
      </c>
      <c r="K35" s="31"/>
      <c r="L35" s="31">
        <v>0</v>
      </c>
      <c r="M35" s="31" t="s">
        <v>109</v>
      </c>
      <c r="N35" s="32" t="s">
        <v>33</v>
      </c>
      <c r="O35" s="33">
        <f>I35*L35%</f>
        <v>0</v>
      </c>
    </row>
    <row r="36" spans="1:20" ht="16.5" customHeight="1">
      <c r="A36" s="500"/>
      <c r="B36" s="496"/>
      <c r="C36" s="437"/>
      <c r="D36" s="563"/>
      <c r="E36" s="563"/>
      <c r="F36" s="563"/>
      <c r="G36" s="445"/>
      <c r="H36" s="204" t="s">
        <v>286</v>
      </c>
      <c r="I36" s="30">
        <v>1122000</v>
      </c>
      <c r="J36" s="31" t="s">
        <v>31</v>
      </c>
      <c r="K36" s="31"/>
      <c r="L36" s="31">
        <v>150</v>
      </c>
      <c r="M36" s="31" t="s">
        <v>109</v>
      </c>
      <c r="N36" s="32" t="s">
        <v>33</v>
      </c>
      <c r="O36" s="33">
        <f>I36*L36%</f>
        <v>1683000</v>
      </c>
      <c r="P36" s="263"/>
      <c r="Q36" s="263"/>
      <c r="R36" s="263"/>
      <c r="S36" s="263"/>
      <c r="T36" s="263"/>
    </row>
    <row r="37" spans="1:20" ht="16.5" customHeight="1">
      <c r="A37" s="500"/>
      <c r="B37" s="496"/>
      <c r="C37" s="437"/>
      <c r="D37" s="437"/>
      <c r="E37" s="437"/>
      <c r="F37" s="437"/>
      <c r="G37" s="446"/>
      <c r="H37" s="203" t="s">
        <v>166</v>
      </c>
      <c r="I37" s="165"/>
      <c r="J37" s="166"/>
      <c r="K37" s="166"/>
      <c r="L37" s="166"/>
      <c r="M37" s="166"/>
      <c r="N37" s="167"/>
      <c r="O37" s="168">
        <f>SUM(O38:O39)</f>
        <v>0</v>
      </c>
      <c r="P37" s="331">
        <f>P38+P39</f>
        <v>2208100</v>
      </c>
      <c r="Q37" s="264"/>
      <c r="R37" s="265"/>
      <c r="S37" s="265"/>
      <c r="T37" s="265"/>
    </row>
    <row r="38" spans="1:20" ht="16.5" customHeight="1">
      <c r="A38" s="500"/>
      <c r="B38" s="496"/>
      <c r="C38" s="437"/>
      <c r="D38" s="437"/>
      <c r="E38" s="437"/>
      <c r="F38" s="437"/>
      <c r="G38" s="446"/>
      <c r="H38" s="204" t="s">
        <v>308</v>
      </c>
      <c r="I38" s="30"/>
      <c r="J38" s="261" t="s">
        <v>167</v>
      </c>
      <c r="K38" s="262" t="s">
        <v>168</v>
      </c>
      <c r="L38" s="261" t="s">
        <v>167</v>
      </c>
      <c r="M38" s="261">
        <v>1.5</v>
      </c>
      <c r="N38" s="32" t="s">
        <v>33</v>
      </c>
      <c r="O38" s="33">
        <v>0</v>
      </c>
      <c r="P38" s="331">
        <v>1189900</v>
      </c>
      <c r="Q38" s="264"/>
      <c r="R38" s="263"/>
      <c r="S38" s="263"/>
      <c r="T38" s="263"/>
    </row>
    <row r="39" spans="1:20" ht="16.5" customHeight="1">
      <c r="A39" s="500"/>
      <c r="B39" s="496"/>
      <c r="C39" s="560"/>
      <c r="D39" s="560"/>
      <c r="E39" s="560"/>
      <c r="F39" s="560"/>
      <c r="G39" s="442"/>
      <c r="H39" s="259" t="s">
        <v>290</v>
      </c>
      <c r="I39" s="30">
        <v>0</v>
      </c>
      <c r="J39" s="31" t="s">
        <v>31</v>
      </c>
      <c r="K39" s="262" t="s">
        <v>169</v>
      </c>
      <c r="L39" s="261" t="s">
        <v>167</v>
      </c>
      <c r="M39" s="261">
        <v>1.5</v>
      </c>
      <c r="N39" s="32" t="s">
        <v>33</v>
      </c>
      <c r="O39" s="33">
        <v>0</v>
      </c>
      <c r="P39" s="331">
        <v>1018200</v>
      </c>
      <c r="Q39" s="264"/>
      <c r="R39" s="263"/>
      <c r="S39" s="263"/>
      <c r="T39" s="263"/>
    </row>
    <row r="40" spans="1:17" ht="16.5" customHeight="1">
      <c r="A40" s="500"/>
      <c r="B40" s="496"/>
      <c r="C40" s="550" t="s">
        <v>123</v>
      </c>
      <c r="D40" s="441">
        <v>4582660</v>
      </c>
      <c r="E40" s="476">
        <f>O40</f>
        <v>5702040</v>
      </c>
      <c r="F40" s="441">
        <f>E40-D40</f>
        <v>1119380</v>
      </c>
      <c r="G40" s="429">
        <f>F40/D40*100</f>
        <v>24.42642482750193</v>
      </c>
      <c r="H40" s="210" t="s">
        <v>124</v>
      </c>
      <c r="I40" s="26"/>
      <c r="J40" s="27"/>
      <c r="K40" s="27"/>
      <c r="L40" s="27"/>
      <c r="M40" s="27"/>
      <c r="N40" s="27"/>
      <c r="O40" s="28">
        <f>SUM(O41:O41)</f>
        <v>5702040</v>
      </c>
      <c r="Q40" s="183"/>
    </row>
    <row r="41" spans="1:17" ht="16.5" customHeight="1">
      <c r="A41" s="500"/>
      <c r="B41" s="496"/>
      <c r="C41" s="551"/>
      <c r="D41" s="552"/>
      <c r="E41" s="553"/>
      <c r="F41" s="552"/>
      <c r="G41" s="554"/>
      <c r="H41" s="207" t="s">
        <v>307</v>
      </c>
      <c r="I41" s="40">
        <f>O7+O11+O19</f>
        <v>58655000</v>
      </c>
      <c r="J41" s="41" t="s">
        <v>139</v>
      </c>
      <c r="K41" s="41"/>
      <c r="L41" s="39">
        <v>12</v>
      </c>
      <c r="M41" s="39" t="s">
        <v>140</v>
      </c>
      <c r="N41" s="39" t="s">
        <v>141</v>
      </c>
      <c r="O41" s="33">
        <v>5702040</v>
      </c>
      <c r="Q41" s="183"/>
    </row>
    <row r="42" spans="1:17" ht="16.5" customHeight="1">
      <c r="A42" s="500"/>
      <c r="B42" s="496"/>
      <c r="C42" s="497" t="s">
        <v>148</v>
      </c>
      <c r="D42" s="441">
        <v>4297020</v>
      </c>
      <c r="E42" s="441">
        <f>O42</f>
        <v>4695140</v>
      </c>
      <c r="F42" s="441">
        <f>E42-D42</f>
        <v>398120</v>
      </c>
      <c r="G42" s="429">
        <f>F42/D42*100</f>
        <v>9.26502552932032</v>
      </c>
      <c r="H42" s="201" t="s">
        <v>296</v>
      </c>
      <c r="I42" s="26"/>
      <c r="J42" s="27"/>
      <c r="K42" s="27"/>
      <c r="L42" s="27"/>
      <c r="M42" s="27"/>
      <c r="N42" s="27"/>
      <c r="O42" s="28">
        <f>SUM(O43:O46)</f>
        <v>4695140</v>
      </c>
      <c r="Q42" s="183"/>
    </row>
    <row r="43" spans="1:17" ht="16.5" customHeight="1">
      <c r="A43" s="500"/>
      <c r="B43" s="496"/>
      <c r="C43" s="498"/>
      <c r="D43" s="506"/>
      <c r="E43" s="506"/>
      <c r="F43" s="506"/>
      <c r="G43" s="430"/>
      <c r="H43" s="199" t="s">
        <v>145</v>
      </c>
      <c r="I43" s="40">
        <f>O7+O11+O19</f>
        <v>58655000</v>
      </c>
      <c r="J43" s="39" t="s">
        <v>31</v>
      </c>
      <c r="K43" s="39"/>
      <c r="L43" s="176">
        <v>2.9</v>
      </c>
      <c r="M43" s="39" t="s">
        <v>109</v>
      </c>
      <c r="N43" s="42" t="s">
        <v>33</v>
      </c>
      <c r="O43" s="43">
        <v>1558920</v>
      </c>
      <c r="Q43" s="183"/>
    </row>
    <row r="44" spans="1:17" ht="16.5" customHeight="1">
      <c r="A44" s="500"/>
      <c r="B44" s="496"/>
      <c r="C44" s="499"/>
      <c r="D44" s="506"/>
      <c r="E44" s="555"/>
      <c r="F44" s="506"/>
      <c r="G44" s="430"/>
      <c r="H44" s="199" t="s">
        <v>125</v>
      </c>
      <c r="I44" s="40">
        <f>I43</f>
        <v>58655000</v>
      </c>
      <c r="J44" s="39" t="s">
        <v>31</v>
      </c>
      <c r="K44" s="39"/>
      <c r="L44" s="175">
        <v>4.5</v>
      </c>
      <c r="M44" s="39" t="s">
        <v>109</v>
      </c>
      <c r="N44" s="42" t="s">
        <v>33</v>
      </c>
      <c r="O44" s="43">
        <v>2335480</v>
      </c>
      <c r="Q44" s="183"/>
    </row>
    <row r="45" spans="1:17" ht="16.5" customHeight="1">
      <c r="A45" s="500"/>
      <c r="B45" s="496"/>
      <c r="C45" s="499"/>
      <c r="D45" s="506"/>
      <c r="E45" s="555"/>
      <c r="F45" s="506"/>
      <c r="G45" s="430"/>
      <c r="H45" s="199" t="s">
        <v>126</v>
      </c>
      <c r="I45" s="40">
        <f>I44</f>
        <v>58655000</v>
      </c>
      <c r="J45" s="39" t="s">
        <v>31</v>
      </c>
      <c r="K45" s="39"/>
      <c r="L45" s="44">
        <v>0.8</v>
      </c>
      <c r="M45" s="39" t="s">
        <v>109</v>
      </c>
      <c r="N45" s="42" t="s">
        <v>33</v>
      </c>
      <c r="O45" s="43">
        <v>400170</v>
      </c>
      <c r="Q45" s="183"/>
    </row>
    <row r="46" spans="1:15" ht="16.5" customHeight="1">
      <c r="A46" s="500"/>
      <c r="B46" s="496"/>
      <c r="C46" s="499"/>
      <c r="D46" s="506"/>
      <c r="E46" s="555"/>
      <c r="F46" s="506"/>
      <c r="G46" s="430"/>
      <c r="H46" s="199" t="s">
        <v>146</v>
      </c>
      <c r="I46" s="40">
        <f>I45</f>
        <v>58655000</v>
      </c>
      <c r="J46" s="39" t="s">
        <v>31</v>
      </c>
      <c r="K46" s="39"/>
      <c r="L46" s="45">
        <v>0.78</v>
      </c>
      <c r="M46" s="39" t="s">
        <v>109</v>
      </c>
      <c r="N46" s="42" t="s">
        <v>33</v>
      </c>
      <c r="O46" s="43">
        <v>400570</v>
      </c>
    </row>
    <row r="47" spans="1:15" ht="16.5" customHeight="1">
      <c r="A47" s="500"/>
      <c r="B47" s="502" t="s">
        <v>127</v>
      </c>
      <c r="C47" s="503"/>
      <c r="D47" s="230">
        <f>D48+D50+D53+D56</f>
        <v>1245420</v>
      </c>
      <c r="E47" s="230">
        <f>O47</f>
        <v>823110</v>
      </c>
      <c r="F47" s="233">
        <f>E47-D47</f>
        <v>-422310</v>
      </c>
      <c r="G47" s="241">
        <f>F47/D47*100</f>
        <v>-33.90904273257214</v>
      </c>
      <c r="H47" s="46" t="s">
        <v>128</v>
      </c>
      <c r="I47" s="47"/>
      <c r="J47" s="48"/>
      <c r="K47" s="48"/>
      <c r="L47" s="48"/>
      <c r="M47" s="48"/>
      <c r="N47" s="48"/>
      <c r="O47" s="49">
        <f>O48+O50+O53+O56</f>
        <v>823110</v>
      </c>
    </row>
    <row r="48" spans="1:15" ht="16.5" customHeight="1">
      <c r="A48" s="500"/>
      <c r="B48" s="435"/>
      <c r="C48" s="497" t="s">
        <v>129</v>
      </c>
      <c r="D48" s="515">
        <v>0</v>
      </c>
      <c r="E48" s="515">
        <v>0</v>
      </c>
      <c r="F48" s="515">
        <f>E48:E52-D48:D52</f>
        <v>0</v>
      </c>
      <c r="G48" s="429">
        <v>0</v>
      </c>
      <c r="H48" s="201" t="s">
        <v>130</v>
      </c>
      <c r="I48" s="26">
        <v>0</v>
      </c>
      <c r="J48" s="27"/>
      <c r="K48" s="27"/>
      <c r="L48" s="27"/>
      <c r="M48" s="27"/>
      <c r="N48" s="27"/>
      <c r="O48" s="28">
        <f>SUM(O49:O49)</f>
        <v>0</v>
      </c>
    </row>
    <row r="49" spans="1:15" ht="16.5" customHeight="1">
      <c r="A49" s="500"/>
      <c r="B49" s="481"/>
      <c r="C49" s="505"/>
      <c r="D49" s="520"/>
      <c r="E49" s="520"/>
      <c r="F49" s="520"/>
      <c r="G49" s="524"/>
      <c r="H49" s="202"/>
      <c r="I49" s="51"/>
      <c r="J49" s="39"/>
      <c r="K49" s="51"/>
      <c r="L49" s="51"/>
      <c r="M49" s="51"/>
      <c r="N49" s="52"/>
      <c r="O49" s="53"/>
    </row>
    <row r="50" spans="1:16" ht="16.5" customHeight="1">
      <c r="A50" s="500"/>
      <c r="B50" s="481"/>
      <c r="C50" s="435" t="s">
        <v>131</v>
      </c>
      <c r="D50" s="441">
        <v>622810</v>
      </c>
      <c r="E50" s="441">
        <f>O50</f>
        <v>360000</v>
      </c>
      <c r="F50" s="515">
        <v>-263</v>
      </c>
      <c r="G50" s="429">
        <v>-42.2</v>
      </c>
      <c r="H50" s="201" t="s">
        <v>132</v>
      </c>
      <c r="I50" s="26"/>
      <c r="J50" s="27"/>
      <c r="K50" s="27"/>
      <c r="L50" s="27"/>
      <c r="M50" s="27"/>
      <c r="N50" s="27"/>
      <c r="O50" s="28">
        <f>SUM(O51:O52)</f>
        <v>360000</v>
      </c>
      <c r="P50" s="183"/>
    </row>
    <row r="51" spans="1:15" ht="16.5" customHeight="1">
      <c r="A51" s="500"/>
      <c r="B51" s="481"/>
      <c r="C51" s="521"/>
      <c r="D51" s="506"/>
      <c r="E51" s="506"/>
      <c r="F51" s="516"/>
      <c r="G51" s="430"/>
      <c r="H51" s="199" t="s">
        <v>152</v>
      </c>
      <c r="I51" s="162">
        <v>20000</v>
      </c>
      <c r="J51" s="39" t="s">
        <v>105</v>
      </c>
      <c r="K51" s="163"/>
      <c r="L51" s="163">
        <v>12</v>
      </c>
      <c r="M51" s="163" t="s">
        <v>106</v>
      </c>
      <c r="N51" s="163"/>
      <c r="O51" s="164">
        <f>I51*L51</f>
        <v>240000</v>
      </c>
    </row>
    <row r="52" spans="1:15" ht="16.5" customHeight="1">
      <c r="A52" s="500"/>
      <c r="B52" s="481"/>
      <c r="C52" s="481"/>
      <c r="D52" s="506"/>
      <c r="E52" s="506"/>
      <c r="F52" s="516"/>
      <c r="G52" s="430"/>
      <c r="H52" s="199" t="s">
        <v>155</v>
      </c>
      <c r="I52" s="40">
        <v>10000</v>
      </c>
      <c r="J52" s="39" t="s">
        <v>31</v>
      </c>
      <c r="K52" s="39"/>
      <c r="L52" s="163">
        <v>12</v>
      </c>
      <c r="M52" s="163" t="s">
        <v>149</v>
      </c>
      <c r="N52" s="42"/>
      <c r="O52" s="43">
        <f>I52*L52</f>
        <v>120000</v>
      </c>
    </row>
    <row r="53" spans="1:17" ht="16.5" customHeight="1">
      <c r="A53" s="500"/>
      <c r="B53" s="481"/>
      <c r="C53" s="435" t="s">
        <v>133</v>
      </c>
      <c r="D53" s="441">
        <v>359500</v>
      </c>
      <c r="E53" s="441">
        <f>O53</f>
        <v>200000</v>
      </c>
      <c r="F53" s="515">
        <v>-160</v>
      </c>
      <c r="G53" s="429">
        <v>-44.4</v>
      </c>
      <c r="H53" s="201" t="s">
        <v>134</v>
      </c>
      <c r="I53" s="26">
        <f>SUM(O54:O55)</f>
        <v>200000</v>
      </c>
      <c r="J53" s="27"/>
      <c r="K53" s="27"/>
      <c r="L53" s="27"/>
      <c r="M53" s="27"/>
      <c r="N53" s="27"/>
      <c r="O53" s="28">
        <f>SUM(O54:O55)</f>
        <v>200000</v>
      </c>
      <c r="P53" s="186"/>
      <c r="Q53" s="187"/>
    </row>
    <row r="54" spans="1:17" ht="16.5" customHeight="1">
      <c r="A54" s="500"/>
      <c r="B54" s="481"/>
      <c r="C54" s="481"/>
      <c r="D54" s="518"/>
      <c r="E54" s="518"/>
      <c r="F54" s="519"/>
      <c r="G54" s="564"/>
      <c r="H54" s="199" t="s">
        <v>135</v>
      </c>
      <c r="I54" s="40"/>
      <c r="J54" s="39" t="s">
        <v>105</v>
      </c>
      <c r="K54" s="39"/>
      <c r="L54" s="39"/>
      <c r="M54" s="39" t="s">
        <v>106</v>
      </c>
      <c r="N54" s="42" t="s">
        <v>107</v>
      </c>
      <c r="O54" s="43"/>
      <c r="Q54" t="s">
        <v>99</v>
      </c>
    </row>
    <row r="55" spans="1:17" ht="16.5" customHeight="1">
      <c r="A55" s="500"/>
      <c r="B55" s="481"/>
      <c r="C55" s="481"/>
      <c r="D55" s="518"/>
      <c r="E55" s="518"/>
      <c r="F55" s="519"/>
      <c r="G55" s="564"/>
      <c r="H55" s="199" t="s">
        <v>136</v>
      </c>
      <c r="I55" s="39">
        <v>50000</v>
      </c>
      <c r="J55" s="39" t="s">
        <v>31</v>
      </c>
      <c r="K55" s="39"/>
      <c r="L55" s="39">
        <v>4</v>
      </c>
      <c r="M55" s="39" t="s">
        <v>32</v>
      </c>
      <c r="N55" s="39" t="str">
        <f>N54</f>
        <v>=</v>
      </c>
      <c r="O55" s="57">
        <f>I55*L55</f>
        <v>200000</v>
      </c>
      <c r="Q55" t="s">
        <v>99</v>
      </c>
    </row>
    <row r="56" spans="1:15" ht="16.5" customHeight="1">
      <c r="A56" s="500"/>
      <c r="B56" s="481"/>
      <c r="C56" s="537" t="s">
        <v>137</v>
      </c>
      <c r="D56" s="512">
        <v>263110</v>
      </c>
      <c r="E56" s="512">
        <f>O56</f>
        <v>263110</v>
      </c>
      <c r="F56" s="515">
        <v>0</v>
      </c>
      <c r="G56" s="429">
        <v>0</v>
      </c>
      <c r="H56" s="201" t="s">
        <v>138</v>
      </c>
      <c r="I56" s="26">
        <f>O57+O58</f>
        <v>263110</v>
      </c>
      <c r="J56" s="27"/>
      <c r="K56" s="27"/>
      <c r="L56" s="27"/>
      <c r="M56" s="27"/>
      <c r="N56" s="27"/>
      <c r="O56" s="28">
        <f>SUM(O57:O58)</f>
        <v>263110</v>
      </c>
    </row>
    <row r="57" spans="1:17" ht="16.5" customHeight="1">
      <c r="A57" s="500"/>
      <c r="B57" s="481"/>
      <c r="C57" s="538"/>
      <c r="D57" s="513"/>
      <c r="E57" s="513"/>
      <c r="F57" s="516"/>
      <c r="G57" s="430"/>
      <c r="H57" s="199" t="s">
        <v>297</v>
      </c>
      <c r="I57" s="39">
        <v>200000</v>
      </c>
      <c r="J57" s="39" t="s">
        <v>31</v>
      </c>
      <c r="K57" s="39"/>
      <c r="L57" s="39">
        <v>1</v>
      </c>
      <c r="M57" s="39" t="s">
        <v>35</v>
      </c>
      <c r="N57" s="42" t="s">
        <v>33</v>
      </c>
      <c r="O57" s="43">
        <f>I57*L57</f>
        <v>200000</v>
      </c>
      <c r="Q57" t="s">
        <v>18</v>
      </c>
    </row>
    <row r="58" spans="1:15" ht="16.5" customHeight="1" thickBot="1">
      <c r="A58" s="501"/>
      <c r="B58" s="504"/>
      <c r="C58" s="539"/>
      <c r="D58" s="514"/>
      <c r="E58" s="514"/>
      <c r="F58" s="517"/>
      <c r="G58" s="507"/>
      <c r="H58" s="200" t="s">
        <v>151</v>
      </c>
      <c r="I58" s="58"/>
      <c r="J58" s="58"/>
      <c r="K58" s="58"/>
      <c r="L58" s="58"/>
      <c r="M58" s="58"/>
      <c r="N58" s="59"/>
      <c r="O58" s="60">
        <v>63110</v>
      </c>
    </row>
    <row r="59" spans="1:15" ht="18.75" customHeight="1" thickBot="1">
      <c r="A59" s="38"/>
      <c r="B59" s="38"/>
      <c r="C59" s="38"/>
      <c r="D59" s="234"/>
      <c r="E59" s="234"/>
      <c r="F59" s="234"/>
      <c r="G59" s="234"/>
      <c r="H59" s="39"/>
      <c r="I59" s="39"/>
      <c r="J59" s="39"/>
      <c r="K59" s="39"/>
      <c r="L59" s="39"/>
      <c r="M59" s="39"/>
      <c r="N59" s="39"/>
      <c r="O59" s="39" t="s">
        <v>34</v>
      </c>
    </row>
    <row r="60" spans="1:15" ht="19.5" customHeight="1">
      <c r="A60" s="466" t="s">
        <v>24</v>
      </c>
      <c r="B60" s="468" t="s">
        <v>25</v>
      </c>
      <c r="C60" s="468" t="s">
        <v>26</v>
      </c>
      <c r="D60" s="508" t="str">
        <f>D2</f>
        <v>12년 예산(A)</v>
      </c>
      <c r="E60" s="508" t="str">
        <f>E31</f>
        <v>13년 예산(B)</v>
      </c>
      <c r="F60" s="510" t="s">
        <v>27</v>
      </c>
      <c r="G60" s="511"/>
      <c r="H60" s="454" t="s">
        <v>28</v>
      </c>
      <c r="I60" s="456"/>
      <c r="J60" s="456"/>
      <c r="K60" s="456"/>
      <c r="L60" s="456"/>
      <c r="M60" s="456"/>
      <c r="N60" s="456"/>
      <c r="O60" s="457"/>
    </row>
    <row r="61" spans="1:15" ht="19.5" customHeight="1" thickBot="1">
      <c r="A61" s="467"/>
      <c r="B61" s="469"/>
      <c r="C61" s="469"/>
      <c r="D61" s="509"/>
      <c r="E61" s="509"/>
      <c r="F61" s="235" t="s">
        <v>29</v>
      </c>
      <c r="G61" s="235" t="s">
        <v>30</v>
      </c>
      <c r="H61" s="458"/>
      <c r="I61" s="459"/>
      <c r="J61" s="459"/>
      <c r="K61" s="459"/>
      <c r="L61" s="459"/>
      <c r="M61" s="459"/>
      <c r="N61" s="459"/>
      <c r="O61" s="460"/>
    </row>
    <row r="62" spans="1:15" ht="19.5" customHeight="1">
      <c r="A62" s="540" t="s">
        <v>36</v>
      </c>
      <c r="B62" s="541"/>
      <c r="C62" s="541"/>
      <c r="D62" s="242">
        <f>SUM(D63)</f>
        <v>50000</v>
      </c>
      <c r="E62" s="242">
        <f>SUM(E63)</f>
        <v>0</v>
      </c>
      <c r="F62" s="242">
        <f>E62-D62</f>
        <v>-50000</v>
      </c>
      <c r="G62" s="245">
        <v>-100</v>
      </c>
      <c r="H62" s="62"/>
      <c r="I62" s="63"/>
      <c r="J62" s="61"/>
      <c r="K62" s="61"/>
      <c r="L62" s="61"/>
      <c r="M62" s="61"/>
      <c r="N62" s="61"/>
      <c r="O62" s="64">
        <f>O63</f>
        <v>0</v>
      </c>
    </row>
    <row r="63" spans="1:15" ht="19.5" customHeight="1">
      <c r="A63" s="483"/>
      <c r="B63" s="502" t="s">
        <v>37</v>
      </c>
      <c r="C63" s="503"/>
      <c r="D63" s="243">
        <f>SUM(D64:D66)</f>
        <v>50000</v>
      </c>
      <c r="E63" s="243">
        <f>SUM(E64:E66)</f>
        <v>0</v>
      </c>
      <c r="F63" s="243">
        <f>E63-D63</f>
        <v>-50000</v>
      </c>
      <c r="G63" s="241">
        <v>-100</v>
      </c>
      <c r="H63" s="209" t="s">
        <v>95</v>
      </c>
      <c r="I63" s="65"/>
      <c r="J63" s="48"/>
      <c r="K63" s="48"/>
      <c r="L63" s="48"/>
      <c r="M63" s="48"/>
      <c r="N63" s="48"/>
      <c r="O63" s="49">
        <f>O64+O66</f>
        <v>0</v>
      </c>
    </row>
    <row r="64" spans="1:15" ht="19.5" customHeight="1">
      <c r="A64" s="544"/>
      <c r="B64" s="435"/>
      <c r="C64" s="546" t="s">
        <v>38</v>
      </c>
      <c r="D64" s="441">
        <v>0</v>
      </c>
      <c r="E64" s="441">
        <v>0</v>
      </c>
      <c r="F64" s="441">
        <f>E64-D64</f>
        <v>0</v>
      </c>
      <c r="G64" s="429">
        <v>0</v>
      </c>
      <c r="H64" s="201" t="s">
        <v>39</v>
      </c>
      <c r="I64" s="26"/>
      <c r="J64" s="27"/>
      <c r="K64" s="27"/>
      <c r="L64" s="27"/>
      <c r="M64" s="27"/>
      <c r="N64" s="27"/>
      <c r="O64" s="28">
        <f>SUM(O65:O65)</f>
        <v>0</v>
      </c>
    </row>
    <row r="65" spans="1:16" ht="19.5" customHeight="1">
      <c r="A65" s="544"/>
      <c r="B65" s="521"/>
      <c r="C65" s="547"/>
      <c r="D65" s="506"/>
      <c r="E65" s="506"/>
      <c r="F65" s="506"/>
      <c r="G65" s="430"/>
      <c r="H65" s="198" t="s">
        <v>163</v>
      </c>
      <c r="I65" s="39"/>
      <c r="J65" s="39"/>
      <c r="K65" s="39"/>
      <c r="L65" s="192"/>
      <c r="M65" s="39"/>
      <c r="N65" s="42"/>
      <c r="O65" s="43">
        <v>0</v>
      </c>
      <c r="P65" s="183"/>
    </row>
    <row r="66" spans="1:15" ht="19.5" customHeight="1">
      <c r="A66" s="544"/>
      <c r="B66" s="436"/>
      <c r="C66" s="527" t="s">
        <v>40</v>
      </c>
      <c r="D66" s="525">
        <v>50000</v>
      </c>
      <c r="E66" s="525">
        <f>O66</f>
        <v>0</v>
      </c>
      <c r="F66" s="525">
        <f>(E66-D66)</f>
        <v>-50000</v>
      </c>
      <c r="G66" s="430">
        <f>F66/D66*100</f>
        <v>-100</v>
      </c>
      <c r="H66" s="201" t="s">
        <v>41</v>
      </c>
      <c r="I66" s="27"/>
      <c r="J66" s="27"/>
      <c r="K66" s="27"/>
      <c r="L66" s="184"/>
      <c r="M66" s="27"/>
      <c r="N66" s="185"/>
      <c r="O66" s="28">
        <f>O67</f>
        <v>0</v>
      </c>
    </row>
    <row r="67" spans="1:15" ht="19.5" customHeight="1">
      <c r="A67" s="544"/>
      <c r="B67" s="545"/>
      <c r="C67" s="528"/>
      <c r="D67" s="526"/>
      <c r="E67" s="526"/>
      <c r="F67" s="526"/>
      <c r="G67" s="522"/>
      <c r="H67" s="198" t="s">
        <v>161</v>
      </c>
      <c r="I67" s="51"/>
      <c r="J67" s="51"/>
      <c r="K67" s="51"/>
      <c r="L67" s="51"/>
      <c r="M67" s="51"/>
      <c r="N67" s="52"/>
      <c r="O67" s="53">
        <v>0</v>
      </c>
    </row>
    <row r="68" spans="1:15" ht="19.5" customHeight="1">
      <c r="A68" s="532" t="s">
        <v>42</v>
      </c>
      <c r="B68" s="533"/>
      <c r="C68" s="533"/>
      <c r="D68" s="244">
        <f>SUM(D69)</f>
        <v>59991200</v>
      </c>
      <c r="E68" s="244">
        <f>SUM(E69)</f>
        <v>58918000</v>
      </c>
      <c r="F68" s="244">
        <f>E68-D68</f>
        <v>-1073200</v>
      </c>
      <c r="G68" s="246">
        <f>F68/D68*100</f>
        <v>-1.7889290429262956</v>
      </c>
      <c r="H68" s="208"/>
      <c r="I68" s="69"/>
      <c r="J68" s="67"/>
      <c r="K68" s="67"/>
      <c r="L68" s="67"/>
      <c r="M68" s="67"/>
      <c r="N68" s="67"/>
      <c r="O68" s="70">
        <f>O69</f>
        <v>58918000</v>
      </c>
    </row>
    <row r="69" spans="1:15" ht="19.5" customHeight="1">
      <c r="A69" s="431"/>
      <c r="B69" s="502" t="s">
        <v>43</v>
      </c>
      <c r="C69" s="503"/>
      <c r="D69" s="243">
        <f>D70+D73+D75+D77+D86+D79+D81+D82</f>
        <v>59991200</v>
      </c>
      <c r="E69" s="243">
        <f>E70+E73+E75+E77+E86+E79+E81+E82</f>
        <v>58918000</v>
      </c>
      <c r="F69" s="243">
        <f>E69-D69</f>
        <v>-1073200</v>
      </c>
      <c r="G69" s="241">
        <f>F69/D69*100</f>
        <v>-1.7889290429262956</v>
      </c>
      <c r="H69" s="209" t="s">
        <v>96</v>
      </c>
      <c r="I69" s="47"/>
      <c r="J69" s="48"/>
      <c r="K69" s="48"/>
      <c r="L69" s="48"/>
      <c r="M69" s="48"/>
      <c r="N69" s="48"/>
      <c r="O69" s="49">
        <f>O70+O73+O75+O77+O86+O82+O79+O81</f>
        <v>58918000</v>
      </c>
    </row>
    <row r="70" spans="1:15" ht="20.25" customHeight="1">
      <c r="A70" s="432"/>
      <c r="B70" s="435"/>
      <c r="C70" s="530" t="s">
        <v>44</v>
      </c>
      <c r="D70" s="441">
        <v>191500</v>
      </c>
      <c r="E70" s="441">
        <f>O70</f>
        <v>60000</v>
      </c>
      <c r="F70" s="441">
        <f>E70-D70</f>
        <v>-131500</v>
      </c>
      <c r="G70" s="429">
        <f>F70/D70*100</f>
        <v>-68.66840731070496</v>
      </c>
      <c r="H70" s="439" t="s">
        <v>282</v>
      </c>
      <c r="I70" s="440"/>
      <c r="J70" s="27"/>
      <c r="K70" s="27"/>
      <c r="L70" s="26"/>
      <c r="M70" s="27"/>
      <c r="N70" s="27"/>
      <c r="O70" s="28">
        <f>O71+O72</f>
        <v>60000</v>
      </c>
    </row>
    <row r="71" spans="1:15" ht="20.25" customHeight="1">
      <c r="A71" s="432"/>
      <c r="B71" s="436"/>
      <c r="C71" s="534"/>
      <c r="D71" s="523"/>
      <c r="E71" s="523"/>
      <c r="F71" s="523"/>
      <c r="G71" s="522"/>
      <c r="H71" s="199" t="s">
        <v>283</v>
      </c>
      <c r="I71" s="40"/>
      <c r="J71" s="39"/>
      <c r="K71" s="39"/>
      <c r="L71" s="39"/>
      <c r="M71" s="39"/>
      <c r="N71" s="42"/>
      <c r="O71" s="43">
        <v>50000</v>
      </c>
    </row>
    <row r="72" spans="1:15" ht="20.25" customHeight="1">
      <c r="A72" s="432"/>
      <c r="B72" s="436"/>
      <c r="C72" s="535"/>
      <c r="D72" s="523"/>
      <c r="E72" s="523"/>
      <c r="F72" s="523"/>
      <c r="G72" s="522"/>
      <c r="H72" s="199" t="s">
        <v>284</v>
      </c>
      <c r="I72" s="40"/>
      <c r="J72" s="39"/>
      <c r="K72" s="39"/>
      <c r="L72" s="39"/>
      <c r="M72" s="39"/>
      <c r="N72" s="39"/>
      <c r="O72" s="43">
        <v>10000</v>
      </c>
    </row>
    <row r="73" spans="1:15" ht="20.25" customHeight="1">
      <c r="A73" s="432"/>
      <c r="B73" s="436"/>
      <c r="C73" s="497" t="s">
        <v>142</v>
      </c>
      <c r="D73" s="441">
        <v>431850</v>
      </c>
      <c r="E73" s="441">
        <f>O73</f>
        <v>110000</v>
      </c>
      <c r="F73" s="441">
        <f>E73-D73</f>
        <v>-321850</v>
      </c>
      <c r="G73" s="429">
        <v>-74.5</v>
      </c>
      <c r="H73" s="439" t="s">
        <v>281</v>
      </c>
      <c r="I73" s="440"/>
      <c r="J73" s="27"/>
      <c r="K73" s="27"/>
      <c r="L73" s="27"/>
      <c r="M73" s="27"/>
      <c r="N73" s="27"/>
      <c r="O73" s="28">
        <f>SUM(O74:O74)</f>
        <v>110000</v>
      </c>
    </row>
    <row r="74" spans="1:15" ht="20.25" customHeight="1">
      <c r="A74" s="432"/>
      <c r="B74" s="436"/>
      <c r="C74" s="505"/>
      <c r="D74" s="529"/>
      <c r="E74" s="529"/>
      <c r="F74" s="529"/>
      <c r="G74" s="524"/>
      <c r="H74" s="191" t="s">
        <v>100</v>
      </c>
      <c r="I74" s="72"/>
      <c r="J74" s="51"/>
      <c r="K74" s="51"/>
      <c r="L74" s="51"/>
      <c r="M74" s="51"/>
      <c r="N74" s="52"/>
      <c r="O74" s="57">
        <v>110000</v>
      </c>
    </row>
    <row r="75" spans="1:15" ht="20.25" customHeight="1">
      <c r="A75" s="432"/>
      <c r="B75" s="436"/>
      <c r="C75" s="536" t="s">
        <v>45</v>
      </c>
      <c r="D75" s="463">
        <v>200000</v>
      </c>
      <c r="E75" s="463">
        <f>O75</f>
        <v>100000</v>
      </c>
      <c r="F75" s="506">
        <f>E75-D75</f>
        <v>-100000</v>
      </c>
      <c r="G75" s="430">
        <f>F75/D75*100</f>
        <v>-50</v>
      </c>
      <c r="H75" s="439" t="s">
        <v>93</v>
      </c>
      <c r="I75" s="440"/>
      <c r="J75" s="73"/>
      <c r="K75" s="73"/>
      <c r="L75" s="73"/>
      <c r="M75" s="73"/>
      <c r="N75" s="73"/>
      <c r="O75" s="169">
        <f>O76</f>
        <v>100000</v>
      </c>
    </row>
    <row r="76" spans="1:15" ht="20.25" customHeight="1">
      <c r="A76" s="432"/>
      <c r="B76" s="436"/>
      <c r="C76" s="535"/>
      <c r="D76" s="463"/>
      <c r="E76" s="463"/>
      <c r="F76" s="523"/>
      <c r="G76" s="522"/>
      <c r="H76" s="202" t="s">
        <v>46</v>
      </c>
      <c r="I76" s="71"/>
      <c r="J76" s="51"/>
      <c r="K76" s="51"/>
      <c r="L76" s="51"/>
      <c r="M76" s="51"/>
      <c r="N76" s="52"/>
      <c r="O76" s="53">
        <v>100000</v>
      </c>
    </row>
    <row r="77" spans="1:15" ht="20.25" customHeight="1">
      <c r="A77" s="432"/>
      <c r="B77" s="436"/>
      <c r="C77" s="530" t="s">
        <v>47</v>
      </c>
      <c r="D77" s="441">
        <v>924850</v>
      </c>
      <c r="E77" s="441">
        <f>O77</f>
        <v>200000</v>
      </c>
      <c r="F77" s="441">
        <f>E77-D77</f>
        <v>-724850</v>
      </c>
      <c r="G77" s="429">
        <f>F77/D77*100</f>
        <v>-78.37487160080013</v>
      </c>
      <c r="H77" s="439" t="s">
        <v>94</v>
      </c>
      <c r="I77" s="440"/>
      <c r="J77" s="35"/>
      <c r="K77" s="35"/>
      <c r="L77" s="35"/>
      <c r="M77" s="35"/>
      <c r="N77" s="35"/>
      <c r="O77" s="36">
        <f>O78</f>
        <v>200000</v>
      </c>
    </row>
    <row r="78" spans="1:17" ht="20.25" customHeight="1">
      <c r="A78" s="432"/>
      <c r="B78" s="436"/>
      <c r="C78" s="531"/>
      <c r="D78" s="506"/>
      <c r="E78" s="506"/>
      <c r="F78" s="506"/>
      <c r="G78" s="430"/>
      <c r="H78" s="268" t="s">
        <v>159</v>
      </c>
      <c r="I78" s="39"/>
      <c r="J78" s="39"/>
      <c r="K78" s="39"/>
      <c r="L78" s="39"/>
      <c r="M78" s="39"/>
      <c r="N78" s="42"/>
      <c r="O78" s="43">
        <v>200000</v>
      </c>
      <c r="Q78" s="173"/>
    </row>
    <row r="79" spans="1:17" ht="20.25" customHeight="1">
      <c r="A79" s="433"/>
      <c r="B79" s="437"/>
      <c r="C79" s="530" t="s">
        <v>279</v>
      </c>
      <c r="D79" s="441">
        <v>0</v>
      </c>
      <c r="E79" s="441">
        <f>O79</f>
        <v>100000</v>
      </c>
      <c r="F79" s="441">
        <f>E79-D79</f>
        <v>100000</v>
      </c>
      <c r="G79" s="429">
        <v>0</v>
      </c>
      <c r="H79" s="439" t="s">
        <v>280</v>
      </c>
      <c r="I79" s="440"/>
      <c r="J79" s="27"/>
      <c r="K79" s="27"/>
      <c r="L79" s="27"/>
      <c r="M79" s="27"/>
      <c r="N79" s="27"/>
      <c r="O79" s="28">
        <f>O80</f>
        <v>100000</v>
      </c>
      <c r="Q79" s="173"/>
    </row>
    <row r="80" spans="1:17" ht="20.25" customHeight="1">
      <c r="A80" s="433"/>
      <c r="B80" s="437"/>
      <c r="C80" s="549"/>
      <c r="D80" s="442"/>
      <c r="E80" s="442"/>
      <c r="F80" s="442"/>
      <c r="G80" s="430"/>
      <c r="H80" s="50" t="s">
        <v>285</v>
      </c>
      <c r="I80" s="51"/>
      <c r="J80" s="51"/>
      <c r="K80" s="51"/>
      <c r="L80" s="51"/>
      <c r="M80" s="51"/>
      <c r="N80" s="52"/>
      <c r="O80" s="53">
        <v>100000</v>
      </c>
      <c r="Q80" s="173"/>
    </row>
    <row r="81" spans="1:17" ht="21.75" customHeight="1">
      <c r="A81" s="433"/>
      <c r="B81" s="437"/>
      <c r="C81" s="328" t="s">
        <v>180</v>
      </c>
      <c r="D81" s="247">
        <v>47000</v>
      </c>
      <c r="E81" s="247">
        <v>50000</v>
      </c>
      <c r="F81" s="247">
        <v>3000</v>
      </c>
      <c r="G81" s="329">
        <v>6.4</v>
      </c>
      <c r="H81" s="213" t="s">
        <v>196</v>
      </c>
      <c r="I81" s="194"/>
      <c r="J81" s="194"/>
      <c r="K81" s="194"/>
      <c r="L81" s="194"/>
      <c r="M81" s="194"/>
      <c r="N81" s="330"/>
      <c r="O81" s="195">
        <v>50000</v>
      </c>
      <c r="Q81" s="173"/>
    </row>
    <row r="82" spans="1:17" ht="25.5" customHeight="1" thickBot="1">
      <c r="A82" s="434"/>
      <c r="B82" s="438"/>
      <c r="C82" s="323" t="s">
        <v>147</v>
      </c>
      <c r="D82" s="272">
        <v>146000</v>
      </c>
      <c r="E82" s="272">
        <v>248000</v>
      </c>
      <c r="F82" s="272">
        <f>E82-D82</f>
        <v>102000</v>
      </c>
      <c r="G82" s="324">
        <f>F82/D82*100</f>
        <v>69.86301369863014</v>
      </c>
      <c r="H82" s="325" t="s">
        <v>197</v>
      </c>
      <c r="I82" s="326"/>
      <c r="J82" s="326"/>
      <c r="K82" s="326"/>
      <c r="L82" s="326"/>
      <c r="M82" s="326"/>
      <c r="N82" s="326"/>
      <c r="O82" s="327">
        <v>248000</v>
      </c>
      <c r="Q82" s="173"/>
    </row>
    <row r="83" spans="1:15" ht="18.75" customHeight="1" thickBot="1">
      <c r="A83" s="38"/>
      <c r="B83" s="38"/>
      <c r="C83" s="38"/>
      <c r="D83" s="38"/>
      <c r="E83" s="38"/>
      <c r="F83" s="38"/>
      <c r="G83" s="38"/>
      <c r="H83" s="39"/>
      <c r="I83" s="39"/>
      <c r="J83" s="39"/>
      <c r="K83" s="39"/>
      <c r="L83" s="39"/>
      <c r="M83" s="39"/>
      <c r="N83" s="39"/>
      <c r="O83" s="39" t="s">
        <v>34</v>
      </c>
    </row>
    <row r="84" spans="1:15" ht="17.25" customHeight="1">
      <c r="A84" s="466" t="s">
        <v>1</v>
      </c>
      <c r="B84" s="468" t="s">
        <v>2</v>
      </c>
      <c r="C84" s="468" t="s">
        <v>3</v>
      </c>
      <c r="D84" s="452" t="str">
        <f>D60</f>
        <v>12년 예산(A)</v>
      </c>
      <c r="E84" s="452" t="str">
        <f>E60</f>
        <v>13년 예산(B)</v>
      </c>
      <c r="F84" s="454" t="s">
        <v>4</v>
      </c>
      <c r="G84" s="455"/>
      <c r="H84" s="454" t="s">
        <v>28</v>
      </c>
      <c r="I84" s="456"/>
      <c r="J84" s="456"/>
      <c r="K84" s="456"/>
      <c r="L84" s="456"/>
      <c r="M84" s="456"/>
      <c r="N84" s="456"/>
      <c r="O84" s="457"/>
    </row>
    <row r="85" spans="1:15" ht="17.25" customHeight="1" thickBot="1">
      <c r="A85" s="467"/>
      <c r="B85" s="469"/>
      <c r="C85" s="469"/>
      <c r="D85" s="469"/>
      <c r="E85" s="469"/>
      <c r="F85" s="18" t="s">
        <v>5</v>
      </c>
      <c r="G85" s="19" t="s">
        <v>6</v>
      </c>
      <c r="H85" s="458"/>
      <c r="I85" s="459"/>
      <c r="J85" s="459"/>
      <c r="K85" s="459"/>
      <c r="L85" s="459"/>
      <c r="M85" s="459"/>
      <c r="N85" s="459"/>
      <c r="O85" s="460"/>
    </row>
    <row r="86" spans="1:15" ht="17.25" customHeight="1">
      <c r="A86" s="433"/>
      <c r="B86" s="437"/>
      <c r="C86" s="565" t="s">
        <v>153</v>
      </c>
      <c r="D86" s="512">
        <v>58050000</v>
      </c>
      <c r="E86" s="512">
        <v>58050000</v>
      </c>
      <c r="F86" s="512">
        <f>E86-D86</f>
        <v>0</v>
      </c>
      <c r="G86" s="492">
        <f>F86/D86*100</f>
        <v>0</v>
      </c>
      <c r="H86" s="227" t="s">
        <v>154</v>
      </c>
      <c r="I86" s="228"/>
      <c r="J86" s="228"/>
      <c r="K86" s="228"/>
      <c r="L86" s="228"/>
      <c r="M86" s="228"/>
      <c r="N86" s="228"/>
      <c r="O86" s="229">
        <f>SUM(O87:O101)</f>
        <v>58050000</v>
      </c>
    </row>
    <row r="87" spans="1:15" ht="17.25" customHeight="1">
      <c r="A87" s="433"/>
      <c r="B87" s="437"/>
      <c r="C87" s="566"/>
      <c r="D87" s="569"/>
      <c r="E87" s="513"/>
      <c r="F87" s="513"/>
      <c r="G87" s="493"/>
      <c r="H87" s="556" t="s">
        <v>181</v>
      </c>
      <c r="I87" s="557"/>
      <c r="J87" s="221"/>
      <c r="K87" s="221"/>
      <c r="L87" s="221"/>
      <c r="M87" s="221"/>
      <c r="N87" s="221"/>
      <c r="O87" s="222">
        <v>26893350</v>
      </c>
    </row>
    <row r="88" spans="1:15" ht="17.25" customHeight="1">
      <c r="A88" s="433"/>
      <c r="B88" s="437"/>
      <c r="C88" s="566"/>
      <c r="D88" s="569"/>
      <c r="E88" s="513"/>
      <c r="F88" s="513"/>
      <c r="G88" s="493"/>
      <c r="H88" s="556" t="s">
        <v>182</v>
      </c>
      <c r="I88" s="557"/>
      <c r="J88" s="221"/>
      <c r="K88" s="221"/>
      <c r="L88" s="221"/>
      <c r="M88" s="221"/>
      <c r="N88" s="221"/>
      <c r="O88" s="222">
        <v>8580000</v>
      </c>
    </row>
    <row r="89" spans="1:15" ht="17.25" customHeight="1">
      <c r="A89" s="433"/>
      <c r="B89" s="437"/>
      <c r="C89" s="566"/>
      <c r="D89" s="569"/>
      <c r="E89" s="513"/>
      <c r="F89" s="513"/>
      <c r="G89" s="493"/>
      <c r="H89" s="556" t="s">
        <v>183</v>
      </c>
      <c r="I89" s="557"/>
      <c r="J89" s="221"/>
      <c r="K89" s="221"/>
      <c r="L89" s="221"/>
      <c r="M89" s="221"/>
      <c r="N89" s="221"/>
      <c r="O89" s="222">
        <v>4318000</v>
      </c>
    </row>
    <row r="90" spans="1:15" ht="17.25" customHeight="1">
      <c r="A90" s="433"/>
      <c r="B90" s="437"/>
      <c r="C90" s="566"/>
      <c r="D90" s="569"/>
      <c r="E90" s="513"/>
      <c r="F90" s="513"/>
      <c r="G90" s="493"/>
      <c r="H90" s="224" t="s">
        <v>184</v>
      </c>
      <c r="I90" s="225"/>
      <c r="J90" s="221"/>
      <c r="K90" s="221"/>
      <c r="L90" s="221"/>
      <c r="M90" s="221"/>
      <c r="N90" s="221"/>
      <c r="O90" s="222">
        <v>1044360</v>
      </c>
    </row>
    <row r="91" spans="1:15" ht="17.25" customHeight="1">
      <c r="A91" s="433"/>
      <c r="B91" s="437"/>
      <c r="C91" s="566"/>
      <c r="D91" s="569"/>
      <c r="E91" s="513"/>
      <c r="F91" s="513"/>
      <c r="G91" s="493"/>
      <c r="H91" s="556" t="s">
        <v>185</v>
      </c>
      <c r="I91" s="557"/>
      <c r="J91" s="221"/>
      <c r="K91" s="221"/>
      <c r="L91" s="221"/>
      <c r="M91" s="221"/>
      <c r="N91" s="221"/>
      <c r="O91" s="222">
        <f>39000*30</f>
        <v>1170000</v>
      </c>
    </row>
    <row r="92" spans="1:15" ht="17.25" customHeight="1">
      <c r="A92" s="433"/>
      <c r="B92" s="437"/>
      <c r="C92" s="566"/>
      <c r="D92" s="569"/>
      <c r="E92" s="513"/>
      <c r="F92" s="513"/>
      <c r="G92" s="493"/>
      <c r="H92" s="556" t="s">
        <v>186</v>
      </c>
      <c r="I92" s="558"/>
      <c r="J92" s="221"/>
      <c r="K92" s="221"/>
      <c r="L92" s="221"/>
      <c r="M92" s="221"/>
      <c r="N92" s="221"/>
      <c r="O92" s="222">
        <f>48800*30</f>
        <v>1464000</v>
      </c>
    </row>
    <row r="93" spans="1:15" ht="17.25" customHeight="1">
      <c r="A93" s="433"/>
      <c r="B93" s="437"/>
      <c r="C93" s="566"/>
      <c r="D93" s="569"/>
      <c r="E93" s="513"/>
      <c r="F93" s="513"/>
      <c r="G93" s="493"/>
      <c r="H93" s="556" t="s">
        <v>187</v>
      </c>
      <c r="I93" s="557"/>
      <c r="J93" s="558"/>
      <c r="K93" s="221"/>
      <c r="L93" s="221"/>
      <c r="M93" s="221"/>
      <c r="N93" s="221"/>
      <c r="O93" s="222">
        <v>640000</v>
      </c>
    </row>
    <row r="94" spans="1:15" ht="17.25" customHeight="1">
      <c r="A94" s="433"/>
      <c r="B94" s="437"/>
      <c r="C94" s="566"/>
      <c r="D94" s="569"/>
      <c r="E94" s="513"/>
      <c r="F94" s="513"/>
      <c r="G94" s="493"/>
      <c r="H94" s="556" t="s">
        <v>188</v>
      </c>
      <c r="I94" s="557"/>
      <c r="J94" s="558"/>
      <c r="K94" s="221"/>
      <c r="L94" s="221"/>
      <c r="M94" s="221"/>
      <c r="N94" s="221"/>
      <c r="O94" s="222">
        <v>1800000</v>
      </c>
    </row>
    <row r="95" spans="1:15" ht="17.25" customHeight="1">
      <c r="A95" s="433"/>
      <c r="B95" s="437"/>
      <c r="C95" s="566"/>
      <c r="D95" s="569"/>
      <c r="E95" s="513"/>
      <c r="F95" s="513"/>
      <c r="G95" s="493"/>
      <c r="H95" s="556" t="s">
        <v>189</v>
      </c>
      <c r="I95" s="557"/>
      <c r="J95" s="558"/>
      <c r="K95" s="221"/>
      <c r="L95" s="221"/>
      <c r="M95" s="221"/>
      <c r="N95" s="221"/>
      <c r="O95" s="222">
        <v>8480000</v>
      </c>
    </row>
    <row r="96" spans="1:15" ht="17.25" customHeight="1">
      <c r="A96" s="433"/>
      <c r="B96" s="437"/>
      <c r="C96" s="566"/>
      <c r="D96" s="569"/>
      <c r="E96" s="513"/>
      <c r="F96" s="513"/>
      <c r="G96" s="493"/>
      <c r="H96" s="556" t="s">
        <v>190</v>
      </c>
      <c r="I96" s="558"/>
      <c r="J96" s="558"/>
      <c r="K96" s="221"/>
      <c r="L96" s="221"/>
      <c r="M96" s="221"/>
      <c r="N96" s="221"/>
      <c r="O96" s="222">
        <v>990000</v>
      </c>
    </row>
    <row r="97" spans="1:16" ht="17.25" customHeight="1">
      <c r="A97" s="433"/>
      <c r="B97" s="437"/>
      <c r="C97" s="566"/>
      <c r="D97" s="569"/>
      <c r="E97" s="513"/>
      <c r="F97" s="513"/>
      <c r="G97" s="493"/>
      <c r="H97" s="224" t="s">
        <v>191</v>
      </c>
      <c r="I97" s="226"/>
      <c r="J97" s="226"/>
      <c r="K97" s="221"/>
      <c r="L97" s="221"/>
      <c r="M97" s="221"/>
      <c r="N97" s="221"/>
      <c r="O97" s="222">
        <f>255000+47700</f>
        <v>302700</v>
      </c>
      <c r="P97" s="173"/>
    </row>
    <row r="98" spans="1:15" ht="17.25" customHeight="1">
      <c r="A98" s="433"/>
      <c r="B98" s="437"/>
      <c r="C98" s="566"/>
      <c r="D98" s="569"/>
      <c r="E98" s="513"/>
      <c r="F98" s="513"/>
      <c r="G98" s="493"/>
      <c r="H98" s="224" t="s">
        <v>192</v>
      </c>
      <c r="I98" s="225"/>
      <c r="J98" s="226"/>
      <c r="K98" s="221"/>
      <c r="L98" s="221"/>
      <c r="M98" s="221"/>
      <c r="N98" s="221"/>
      <c r="O98" s="222">
        <v>576000</v>
      </c>
    </row>
    <row r="99" spans="1:15" ht="17.25" customHeight="1">
      <c r="A99" s="433"/>
      <c r="B99" s="437"/>
      <c r="C99" s="566"/>
      <c r="D99" s="569"/>
      <c r="E99" s="513"/>
      <c r="F99" s="513"/>
      <c r="G99" s="493"/>
      <c r="H99" s="224" t="s">
        <v>193</v>
      </c>
      <c r="I99" s="225"/>
      <c r="J99" s="226"/>
      <c r="K99" s="221"/>
      <c r="L99" s="221"/>
      <c r="M99" s="221"/>
      <c r="N99" s="221"/>
      <c r="O99" s="222">
        <v>880000</v>
      </c>
    </row>
    <row r="100" spans="1:15" ht="17.25" customHeight="1">
      <c r="A100" s="433"/>
      <c r="B100" s="437"/>
      <c r="C100" s="566"/>
      <c r="D100" s="569"/>
      <c r="E100" s="513"/>
      <c r="F100" s="513"/>
      <c r="G100" s="493"/>
      <c r="H100" s="556" t="s">
        <v>194</v>
      </c>
      <c r="I100" s="557"/>
      <c r="J100" s="557"/>
      <c r="K100" s="557"/>
      <c r="L100" s="557"/>
      <c r="M100" s="221"/>
      <c r="N100" s="221"/>
      <c r="O100" s="222">
        <v>505510</v>
      </c>
    </row>
    <row r="101" spans="1:16" ht="17.25" customHeight="1">
      <c r="A101" s="568"/>
      <c r="B101" s="560"/>
      <c r="C101" s="567"/>
      <c r="D101" s="442"/>
      <c r="E101" s="442"/>
      <c r="F101" s="442"/>
      <c r="G101" s="442"/>
      <c r="H101" s="266" t="s">
        <v>195</v>
      </c>
      <c r="I101" s="267"/>
      <c r="J101" s="267"/>
      <c r="K101" s="267"/>
      <c r="L101" s="267"/>
      <c r="M101" s="211"/>
      <c r="N101" s="211"/>
      <c r="O101" s="212">
        <v>406080</v>
      </c>
      <c r="P101" s="173"/>
    </row>
    <row r="102" spans="1:15" ht="17.25" customHeight="1">
      <c r="A102" s="532" t="s">
        <v>268</v>
      </c>
      <c r="B102" s="533"/>
      <c r="C102" s="542"/>
      <c r="D102" s="244">
        <f>SUM(D103)</f>
        <v>0</v>
      </c>
      <c r="E102" s="244">
        <f>SUM(E103)</f>
        <v>0</v>
      </c>
      <c r="F102" s="244">
        <f>E102-D102</f>
        <v>0</v>
      </c>
      <c r="G102" s="246">
        <v>0</v>
      </c>
      <c r="H102" s="68"/>
      <c r="I102" s="69"/>
      <c r="J102" s="67"/>
      <c r="K102" s="67"/>
      <c r="L102" s="67"/>
      <c r="M102" s="67"/>
      <c r="N102" s="67"/>
      <c r="O102" s="188">
        <f>O103</f>
        <v>0</v>
      </c>
    </row>
    <row r="103" spans="1:15" ht="17.25" customHeight="1">
      <c r="A103" s="431"/>
      <c r="B103" s="502" t="s">
        <v>269</v>
      </c>
      <c r="C103" s="503"/>
      <c r="D103" s="243">
        <f>SUM(D104)</f>
        <v>0</v>
      </c>
      <c r="E103" s="243">
        <f>SUM(E104)</f>
        <v>0</v>
      </c>
      <c r="F103" s="243">
        <f>E103-D103</f>
        <v>0</v>
      </c>
      <c r="G103" s="241">
        <v>0</v>
      </c>
      <c r="H103" s="46" t="s">
        <v>271</v>
      </c>
      <c r="I103" s="47"/>
      <c r="J103" s="48"/>
      <c r="K103" s="48"/>
      <c r="L103" s="48"/>
      <c r="M103" s="48"/>
      <c r="N103" s="48"/>
      <c r="O103" s="49">
        <f>O104</f>
        <v>0</v>
      </c>
    </row>
    <row r="104" spans="1:15" ht="17.25" customHeight="1">
      <c r="A104" s="543"/>
      <c r="B104" s="78"/>
      <c r="C104" s="182" t="s">
        <v>270</v>
      </c>
      <c r="D104" s="240">
        <v>0</v>
      </c>
      <c r="E104" s="240">
        <v>0</v>
      </c>
      <c r="F104" s="240">
        <f>E104-D104</f>
        <v>0</v>
      </c>
      <c r="G104" s="239">
        <v>0</v>
      </c>
      <c r="H104" s="50" t="s">
        <v>272</v>
      </c>
      <c r="I104" s="54">
        <v>0</v>
      </c>
      <c r="J104" s="55"/>
      <c r="K104" s="55"/>
      <c r="L104" s="55"/>
      <c r="M104" s="55"/>
      <c r="N104" s="55"/>
      <c r="O104" s="56">
        <v>0</v>
      </c>
    </row>
    <row r="105" spans="1:15" ht="17.25" customHeight="1">
      <c r="A105" s="532" t="s">
        <v>48</v>
      </c>
      <c r="B105" s="533"/>
      <c r="C105" s="533"/>
      <c r="D105" s="244">
        <v>0</v>
      </c>
      <c r="E105" s="244">
        <v>0</v>
      </c>
      <c r="F105" s="244">
        <f aca="true" t="shared" si="0" ref="F105:F110">E105-D105</f>
        <v>0</v>
      </c>
      <c r="G105" s="246">
        <v>0</v>
      </c>
      <c r="H105" s="68"/>
      <c r="I105" s="69"/>
      <c r="J105" s="67"/>
      <c r="K105" s="67"/>
      <c r="L105" s="67"/>
      <c r="M105" s="67"/>
      <c r="N105" s="67"/>
      <c r="O105" s="70">
        <v>0</v>
      </c>
    </row>
    <row r="106" spans="1:15" ht="17.25" customHeight="1">
      <c r="A106" s="431"/>
      <c r="B106" s="502" t="s">
        <v>49</v>
      </c>
      <c r="C106" s="503"/>
      <c r="D106" s="243">
        <v>0</v>
      </c>
      <c r="E106" s="243">
        <v>0</v>
      </c>
      <c r="F106" s="243">
        <f t="shared" si="0"/>
        <v>0</v>
      </c>
      <c r="G106" s="241">
        <v>0</v>
      </c>
      <c r="H106" s="74" t="s">
        <v>50</v>
      </c>
      <c r="I106" s="75">
        <v>0</v>
      </c>
      <c r="J106" s="76"/>
      <c r="K106" s="76"/>
      <c r="L106" s="76"/>
      <c r="M106" s="76"/>
      <c r="N106" s="76"/>
      <c r="O106" s="77"/>
    </row>
    <row r="107" spans="1:15" ht="17.25" customHeight="1">
      <c r="A107" s="432"/>
      <c r="B107" s="25"/>
      <c r="C107" s="29" t="s">
        <v>51</v>
      </c>
      <c r="D107" s="247">
        <v>0</v>
      </c>
      <c r="E107" s="247">
        <v>0</v>
      </c>
      <c r="F107" s="240">
        <f t="shared" si="0"/>
        <v>0</v>
      </c>
      <c r="G107" s="239">
        <v>0</v>
      </c>
      <c r="H107" s="114" t="s">
        <v>52</v>
      </c>
      <c r="I107" s="193"/>
      <c r="J107" s="194"/>
      <c r="K107" s="194"/>
      <c r="L107" s="194"/>
      <c r="M107" s="194"/>
      <c r="N107" s="194"/>
      <c r="O107" s="195">
        <v>0</v>
      </c>
    </row>
    <row r="108" spans="1:15" ht="17.25" customHeight="1">
      <c r="A108" s="532" t="s">
        <v>273</v>
      </c>
      <c r="B108" s="533"/>
      <c r="C108" s="542"/>
      <c r="D108" s="248">
        <f>D109</f>
        <v>95915</v>
      </c>
      <c r="E108" s="248">
        <f>E109</f>
        <v>454581</v>
      </c>
      <c r="F108" s="244">
        <f t="shared" si="0"/>
        <v>358666</v>
      </c>
      <c r="G108" s="246">
        <f>G109</f>
        <v>373.9415107126101</v>
      </c>
      <c r="H108" s="68"/>
      <c r="I108" s="69"/>
      <c r="J108" s="67"/>
      <c r="K108" s="67"/>
      <c r="L108" s="67"/>
      <c r="M108" s="67"/>
      <c r="N108" s="67"/>
      <c r="O108" s="70">
        <f>O109</f>
        <v>454581</v>
      </c>
    </row>
    <row r="109" spans="1:15" ht="17.25" customHeight="1">
      <c r="A109" s="431"/>
      <c r="B109" s="502" t="s">
        <v>273</v>
      </c>
      <c r="C109" s="503"/>
      <c r="D109" s="243">
        <f>D110</f>
        <v>95915</v>
      </c>
      <c r="E109" s="243">
        <f>E110</f>
        <v>454581</v>
      </c>
      <c r="F109" s="243">
        <f t="shared" si="0"/>
        <v>358666</v>
      </c>
      <c r="G109" s="241">
        <f>G110</f>
        <v>373.9415107126101</v>
      </c>
      <c r="H109" s="46" t="s">
        <v>53</v>
      </c>
      <c r="I109" s="47">
        <v>0</v>
      </c>
      <c r="J109" s="48"/>
      <c r="K109" s="48"/>
      <c r="L109" s="48"/>
      <c r="M109" s="48"/>
      <c r="N109" s="48"/>
      <c r="O109" s="49">
        <f>O110</f>
        <v>454581</v>
      </c>
    </row>
    <row r="110" spans="1:15" ht="17.25" customHeight="1" thickBot="1">
      <c r="A110" s="548"/>
      <c r="B110" s="79"/>
      <c r="C110" s="37" t="s">
        <v>265</v>
      </c>
      <c r="D110" s="249">
        <v>95915</v>
      </c>
      <c r="E110" s="249">
        <v>454581</v>
      </c>
      <c r="F110" s="249">
        <f t="shared" si="0"/>
        <v>358666</v>
      </c>
      <c r="G110" s="250">
        <f>F110/D110*100</f>
        <v>373.9415107126101</v>
      </c>
      <c r="H110" s="80" t="s">
        <v>53</v>
      </c>
      <c r="I110" s="81"/>
      <c r="J110" s="82"/>
      <c r="K110" s="82"/>
      <c r="L110" s="82"/>
      <c r="M110" s="82"/>
      <c r="N110" s="82"/>
      <c r="O110" s="83">
        <v>454581</v>
      </c>
    </row>
  </sheetData>
  <sheetProtection/>
  <mergeCells count="164">
    <mergeCell ref="G86:G101"/>
    <mergeCell ref="C86:C101"/>
    <mergeCell ref="B86:B101"/>
    <mergeCell ref="A86:A101"/>
    <mergeCell ref="D86:D101"/>
    <mergeCell ref="E86:E101"/>
    <mergeCell ref="F86:F101"/>
    <mergeCell ref="C33:C39"/>
    <mergeCell ref="D33:D39"/>
    <mergeCell ref="E33:E39"/>
    <mergeCell ref="F33:F39"/>
    <mergeCell ref="H87:I87"/>
    <mergeCell ref="H88:I88"/>
    <mergeCell ref="G42:G46"/>
    <mergeCell ref="G53:G55"/>
    <mergeCell ref="G48:G49"/>
    <mergeCell ref="G50:G52"/>
    <mergeCell ref="H89:I89"/>
    <mergeCell ref="H96:J96"/>
    <mergeCell ref="H100:L100"/>
    <mergeCell ref="H91:I91"/>
    <mergeCell ref="H93:J93"/>
    <mergeCell ref="H94:J94"/>
    <mergeCell ref="H95:J95"/>
    <mergeCell ref="H92:I92"/>
    <mergeCell ref="H60:O61"/>
    <mergeCell ref="C40:C41"/>
    <mergeCell ref="D40:D41"/>
    <mergeCell ref="E40:E41"/>
    <mergeCell ref="F40:F41"/>
    <mergeCell ref="G40:G41"/>
    <mergeCell ref="E42:E46"/>
    <mergeCell ref="F42:F46"/>
    <mergeCell ref="C60:C61"/>
    <mergeCell ref="D60:D61"/>
    <mergeCell ref="A109:A110"/>
    <mergeCell ref="B109:C109"/>
    <mergeCell ref="A105:C105"/>
    <mergeCell ref="A106:A107"/>
    <mergeCell ref="B106:C106"/>
    <mergeCell ref="B103:C103"/>
    <mergeCell ref="A108:C108"/>
    <mergeCell ref="A102:C102"/>
    <mergeCell ref="A103:A104"/>
    <mergeCell ref="C73:C74"/>
    <mergeCell ref="A63:A67"/>
    <mergeCell ref="B64:B67"/>
    <mergeCell ref="B63:C63"/>
    <mergeCell ref="C64:C65"/>
    <mergeCell ref="B84:B85"/>
    <mergeCell ref="C84:C85"/>
    <mergeCell ref="C79:C80"/>
    <mergeCell ref="H84:O85"/>
    <mergeCell ref="C56:C58"/>
    <mergeCell ref="D56:D58"/>
    <mergeCell ref="A62:C62"/>
    <mergeCell ref="A60:A61"/>
    <mergeCell ref="B60:B61"/>
    <mergeCell ref="F75:F76"/>
    <mergeCell ref="G75:G76"/>
    <mergeCell ref="F84:G84"/>
    <mergeCell ref="G77:G78"/>
    <mergeCell ref="D77:D78"/>
    <mergeCell ref="F77:F78"/>
    <mergeCell ref="E77:E78"/>
    <mergeCell ref="A68:C68"/>
    <mergeCell ref="B69:C69"/>
    <mergeCell ref="C70:C72"/>
    <mergeCell ref="C75:C76"/>
    <mergeCell ref="F70:F72"/>
    <mergeCell ref="F73:F74"/>
    <mergeCell ref="D75:D76"/>
    <mergeCell ref="G66:G67"/>
    <mergeCell ref="C66:C67"/>
    <mergeCell ref="E84:E85"/>
    <mergeCell ref="E70:E72"/>
    <mergeCell ref="A84:A85"/>
    <mergeCell ref="D73:D74"/>
    <mergeCell ref="E73:E74"/>
    <mergeCell ref="E75:E76"/>
    <mergeCell ref="C77:C78"/>
    <mergeCell ref="D84:D85"/>
    <mergeCell ref="G70:G72"/>
    <mergeCell ref="D64:D65"/>
    <mergeCell ref="E64:E65"/>
    <mergeCell ref="F64:F65"/>
    <mergeCell ref="D70:D72"/>
    <mergeCell ref="G73:G74"/>
    <mergeCell ref="G64:G65"/>
    <mergeCell ref="D66:D67"/>
    <mergeCell ref="E66:E67"/>
    <mergeCell ref="F66:F67"/>
    <mergeCell ref="F53:F55"/>
    <mergeCell ref="F48:F49"/>
    <mergeCell ref="F50:F52"/>
    <mergeCell ref="D48:D49"/>
    <mergeCell ref="E48:E49"/>
    <mergeCell ref="C50:C52"/>
    <mergeCell ref="D53:D55"/>
    <mergeCell ref="D31:D32"/>
    <mergeCell ref="D42:D46"/>
    <mergeCell ref="G56:G58"/>
    <mergeCell ref="E60:E61"/>
    <mergeCell ref="F60:G60"/>
    <mergeCell ref="E56:E58"/>
    <mergeCell ref="F56:F58"/>
    <mergeCell ref="E50:E52"/>
    <mergeCell ref="D50:D52"/>
    <mergeCell ref="E53:E55"/>
    <mergeCell ref="B33:B46"/>
    <mergeCell ref="C42:C46"/>
    <mergeCell ref="A31:A32"/>
    <mergeCell ref="B31:B32"/>
    <mergeCell ref="C31:C32"/>
    <mergeCell ref="A33:A58"/>
    <mergeCell ref="B47:C47"/>
    <mergeCell ref="B48:B58"/>
    <mergeCell ref="C48:C49"/>
    <mergeCell ref="C53:C55"/>
    <mergeCell ref="E19:E29"/>
    <mergeCell ref="F19:F29"/>
    <mergeCell ref="G7:G10"/>
    <mergeCell ref="F11:F18"/>
    <mergeCell ref="G11:G18"/>
    <mergeCell ref="D11:D18"/>
    <mergeCell ref="E11:E18"/>
    <mergeCell ref="D2:D3"/>
    <mergeCell ref="B6:C6"/>
    <mergeCell ref="C7:C10"/>
    <mergeCell ref="A6:A29"/>
    <mergeCell ref="B7:B29"/>
    <mergeCell ref="C19:C29"/>
    <mergeCell ref="C11:C18"/>
    <mergeCell ref="D19:D29"/>
    <mergeCell ref="G19:G29"/>
    <mergeCell ref="A2:A3"/>
    <mergeCell ref="B2:B3"/>
    <mergeCell ref="C2:C3"/>
    <mergeCell ref="H2:O3"/>
    <mergeCell ref="E2:E3"/>
    <mergeCell ref="F2:G2"/>
    <mergeCell ref="A4:C4"/>
    <mergeCell ref="D7:D10"/>
    <mergeCell ref="E7:E10"/>
    <mergeCell ref="F79:F80"/>
    <mergeCell ref="G33:G39"/>
    <mergeCell ref="A5:C5"/>
    <mergeCell ref="I27:M27"/>
    <mergeCell ref="I28:M28"/>
    <mergeCell ref="E31:E32"/>
    <mergeCell ref="F31:G31"/>
    <mergeCell ref="H31:O32"/>
    <mergeCell ref="I29:M29"/>
    <mergeCell ref="F7:F10"/>
    <mergeCell ref="G79:G80"/>
    <mergeCell ref="A69:A82"/>
    <mergeCell ref="B70:B82"/>
    <mergeCell ref="H79:I79"/>
    <mergeCell ref="H77:I77"/>
    <mergeCell ref="H75:I75"/>
    <mergeCell ref="H73:I73"/>
    <mergeCell ref="H70:I70"/>
    <mergeCell ref="D79:D80"/>
    <mergeCell ref="E79:E80"/>
  </mergeCells>
  <printOptions horizontalCentered="1"/>
  <pageMargins left="0.4724409448818898" right="0.7480314960629921" top="0.984251968503937" bottom="0.41" header="0.5118110236220472" footer="0.36"/>
  <pageSetup horizontalDpi="360" verticalDpi="360" orientation="landscape" paperSize="9" r:id="rId1"/>
  <headerFooter alignWithMargins="0">
    <oddHeader>&amp;C&amp;18 2013년도 송파시각장애인정보문화센터  세출예산서(안)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A46"/>
  <sheetViews>
    <sheetView zoomScale="136" zoomScaleNormal="136" zoomScalePageLayoutView="0" workbookViewId="0" topLeftCell="A1">
      <selection activeCell="F5" sqref="F5"/>
    </sheetView>
  </sheetViews>
  <sheetFormatPr defaultColWidth="8.88671875" defaultRowHeight="13.5"/>
  <cols>
    <col min="1" max="1" width="2.6640625" style="0" customWidth="1"/>
    <col min="2" max="2" width="3.3359375" style="0" customWidth="1"/>
    <col min="3" max="3" width="2.88671875" style="0" customWidth="1"/>
    <col min="4" max="4" width="2.4453125" style="0" customWidth="1"/>
    <col min="5" max="5" width="5.4453125" style="0" customWidth="1"/>
    <col min="6" max="8" width="4.77734375" style="0" customWidth="1"/>
    <col min="9" max="15" width="5.3359375" style="0" customWidth="1"/>
    <col min="16" max="18" width="4.77734375" style="0" customWidth="1"/>
    <col min="19" max="19" width="4.88671875" style="0" customWidth="1"/>
    <col min="20" max="24" width="4.77734375" style="0" customWidth="1"/>
    <col min="25" max="26" width="5.3359375" style="0" customWidth="1"/>
  </cols>
  <sheetData>
    <row r="1" spans="1:26" s="275" customFormat="1" ht="18.75">
      <c r="A1" s="584" t="s">
        <v>199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</row>
    <row r="2" spans="1:26" s="275" customFormat="1" ht="19.5" thickBo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6"/>
      <c r="S2" s="274"/>
      <c r="T2" s="274"/>
      <c r="U2" s="274"/>
      <c r="V2" s="274"/>
      <c r="W2" s="274"/>
      <c r="X2" s="274"/>
      <c r="Y2" s="274"/>
      <c r="Z2" s="274"/>
    </row>
    <row r="3" spans="1:26" s="275" customFormat="1" ht="29.25" customHeight="1">
      <c r="A3" s="601" t="s">
        <v>200</v>
      </c>
      <c r="B3" s="597" t="s">
        <v>201</v>
      </c>
      <c r="C3" s="597" t="s">
        <v>202</v>
      </c>
      <c r="D3" s="603" t="s">
        <v>203</v>
      </c>
      <c r="E3" s="605" t="s">
        <v>204</v>
      </c>
      <c r="F3" s="594" t="s">
        <v>205</v>
      </c>
      <c r="G3" s="596"/>
      <c r="H3" s="592" t="s">
        <v>206</v>
      </c>
      <c r="I3" s="594" t="s">
        <v>207</v>
      </c>
      <c r="J3" s="595"/>
      <c r="K3" s="595"/>
      <c r="L3" s="595"/>
      <c r="M3" s="595"/>
      <c r="N3" s="596"/>
      <c r="O3" s="597" t="s">
        <v>208</v>
      </c>
      <c r="P3" s="597" t="s">
        <v>209</v>
      </c>
      <c r="Q3" s="597"/>
      <c r="R3" s="597"/>
      <c r="S3" s="597"/>
      <c r="T3" s="597"/>
      <c r="U3" s="597"/>
      <c r="V3" s="597"/>
      <c r="W3" s="597"/>
      <c r="X3" s="599" t="s">
        <v>176</v>
      </c>
      <c r="Y3" s="597" t="s">
        <v>210</v>
      </c>
      <c r="Z3" s="579" t="s">
        <v>123</v>
      </c>
    </row>
    <row r="4" spans="1:26" s="275" customFormat="1" ht="29.25" customHeight="1">
      <c r="A4" s="602"/>
      <c r="B4" s="598"/>
      <c r="C4" s="598"/>
      <c r="D4" s="604"/>
      <c r="E4" s="606"/>
      <c r="F4" s="277" t="s">
        <v>171</v>
      </c>
      <c r="G4" s="277" t="s">
        <v>172</v>
      </c>
      <c r="H4" s="593"/>
      <c r="I4" s="277" t="s">
        <v>175</v>
      </c>
      <c r="J4" s="278" t="s">
        <v>211</v>
      </c>
      <c r="K4" s="277" t="s">
        <v>212</v>
      </c>
      <c r="L4" s="277" t="s">
        <v>173</v>
      </c>
      <c r="M4" s="277" t="s">
        <v>174</v>
      </c>
      <c r="N4" s="277" t="s">
        <v>177</v>
      </c>
      <c r="O4" s="598"/>
      <c r="P4" s="277" t="s">
        <v>179</v>
      </c>
      <c r="Q4" s="277" t="s">
        <v>213</v>
      </c>
      <c r="R4" s="279" t="s">
        <v>214</v>
      </c>
      <c r="S4" s="277" t="s">
        <v>178</v>
      </c>
      <c r="T4" s="277" t="s">
        <v>215</v>
      </c>
      <c r="U4" s="277" t="s">
        <v>216</v>
      </c>
      <c r="V4" s="277" t="s">
        <v>217</v>
      </c>
      <c r="W4" s="277" t="s">
        <v>218</v>
      </c>
      <c r="X4" s="600"/>
      <c r="Y4" s="598"/>
      <c r="Z4" s="580"/>
    </row>
    <row r="5" spans="1:26" s="275" customFormat="1" ht="29.25" customHeight="1">
      <c r="A5" s="297" t="s">
        <v>219</v>
      </c>
      <c r="B5" s="279" t="s">
        <v>220</v>
      </c>
      <c r="C5" s="298" t="s">
        <v>221</v>
      </c>
      <c r="D5" s="299">
        <v>7</v>
      </c>
      <c r="E5" s="300">
        <v>1122000</v>
      </c>
      <c r="F5" s="301" t="s">
        <v>222</v>
      </c>
      <c r="G5" s="301">
        <f>E5*80%</f>
        <v>897600</v>
      </c>
      <c r="H5" s="301"/>
      <c r="I5" s="280">
        <v>0</v>
      </c>
      <c r="J5" s="302">
        <f>30000+30000</f>
        <v>60000</v>
      </c>
      <c r="K5" s="302">
        <v>135000</v>
      </c>
      <c r="L5" s="302">
        <f>E5*10%</f>
        <v>112200</v>
      </c>
      <c r="M5" s="302">
        <v>50000</v>
      </c>
      <c r="N5" s="302"/>
      <c r="O5" s="302">
        <f>SUM(E5:N5)</f>
        <v>2376800</v>
      </c>
      <c r="P5" s="280">
        <f>ROUNDDOWN((O5*0.55%),-1)</f>
        <v>13070</v>
      </c>
      <c r="Q5" s="280">
        <v>54170</v>
      </c>
      <c r="R5" s="280">
        <f aca="true" t="shared" si="0" ref="R5:R16">ROUNDDOWN((Q5*6.55%),-1)</f>
        <v>3540</v>
      </c>
      <c r="S5" s="301">
        <v>82890</v>
      </c>
      <c r="T5" s="295">
        <v>73210</v>
      </c>
      <c r="U5" s="281">
        <f aca="true" t="shared" si="1" ref="U5:U16">ROUNDDOWN((T5*10%),-1)</f>
        <v>7320</v>
      </c>
      <c r="V5" s="302">
        <v>20000</v>
      </c>
      <c r="W5" s="302">
        <f>SUM(P5:V5)</f>
        <v>254200</v>
      </c>
      <c r="X5" s="302">
        <v>70000</v>
      </c>
      <c r="Y5" s="302">
        <f>O5-W5+X5</f>
        <v>2192600</v>
      </c>
      <c r="Z5" s="303">
        <f>ROUNDUP(((O5+X5)/12),-1)</f>
        <v>203900</v>
      </c>
    </row>
    <row r="6" spans="1:26" s="275" customFormat="1" ht="29.25" customHeight="1">
      <c r="A6" s="304" t="s">
        <v>223</v>
      </c>
      <c r="B6" s="279" t="s">
        <v>220</v>
      </c>
      <c r="C6" s="298" t="s">
        <v>221</v>
      </c>
      <c r="D6" s="305">
        <v>7</v>
      </c>
      <c r="E6" s="300">
        <v>1122000</v>
      </c>
      <c r="F6" s="280" t="s">
        <v>222</v>
      </c>
      <c r="G6" s="280" t="s">
        <v>222</v>
      </c>
      <c r="H6" s="301">
        <f>E6*50%</f>
        <v>561000</v>
      </c>
      <c r="I6" s="280">
        <v>0</v>
      </c>
      <c r="J6" s="302">
        <f aca="true" t="shared" si="2" ref="J6:J16">30000+30000</f>
        <v>60000</v>
      </c>
      <c r="K6" s="280">
        <v>135000</v>
      </c>
      <c r="L6" s="302">
        <f aca="true" t="shared" si="3" ref="L6:L16">E6*10%</f>
        <v>112200</v>
      </c>
      <c r="M6" s="280">
        <v>50000</v>
      </c>
      <c r="N6" s="282">
        <f>ROUNDDOWN((E6+J6)*(1/209*1.5),-1)*10</f>
        <v>84800</v>
      </c>
      <c r="O6" s="302">
        <f aca="true" t="shared" si="4" ref="O6:O16">SUM(E6:N6)</f>
        <v>2125000</v>
      </c>
      <c r="P6" s="280">
        <f aca="true" t="shared" si="5" ref="P6:P16">ROUNDDOWN((O6*0.55%),-1)</f>
        <v>11680</v>
      </c>
      <c r="Q6" s="280">
        <v>54170</v>
      </c>
      <c r="R6" s="280">
        <f>3320+90</f>
        <v>3410</v>
      </c>
      <c r="S6" s="301">
        <v>82890</v>
      </c>
      <c r="T6" s="306">
        <v>8810</v>
      </c>
      <c r="U6" s="281">
        <f t="shared" si="1"/>
        <v>880</v>
      </c>
      <c r="V6" s="280">
        <v>20000</v>
      </c>
      <c r="W6" s="302">
        <f aca="true" t="shared" si="6" ref="W6:W16">SUM(P6:V6)</f>
        <v>181840</v>
      </c>
      <c r="X6" s="302">
        <v>70000</v>
      </c>
      <c r="Y6" s="302">
        <f aca="true" t="shared" si="7" ref="Y6:Y16">O6-W6+X6</f>
        <v>2013160</v>
      </c>
      <c r="Z6" s="303">
        <f aca="true" t="shared" si="8" ref="Z6:Z16">ROUNDUP(((O6+X6)/12),-1)</f>
        <v>182920</v>
      </c>
    </row>
    <row r="7" spans="1:26" s="275" customFormat="1" ht="29.25" customHeight="1">
      <c r="A7" s="304" t="s">
        <v>224</v>
      </c>
      <c r="B7" s="279" t="s">
        <v>220</v>
      </c>
      <c r="C7" s="298" t="s">
        <v>221</v>
      </c>
      <c r="D7" s="305">
        <v>7</v>
      </c>
      <c r="E7" s="300">
        <v>1122000</v>
      </c>
      <c r="F7" s="280">
        <f>E7*100%</f>
        <v>1122000</v>
      </c>
      <c r="G7" s="280" t="s">
        <v>222</v>
      </c>
      <c r="H7" s="280" t="s">
        <v>222</v>
      </c>
      <c r="I7" s="280">
        <v>0</v>
      </c>
      <c r="J7" s="302">
        <f t="shared" si="2"/>
        <v>60000</v>
      </c>
      <c r="K7" s="280">
        <v>135000</v>
      </c>
      <c r="L7" s="302">
        <f t="shared" si="3"/>
        <v>112200</v>
      </c>
      <c r="M7" s="280">
        <v>50000</v>
      </c>
      <c r="N7" s="282">
        <f aca="true" t="shared" si="9" ref="N7:N15">ROUNDDOWN((E7+J7)*(1/209*1.5),-1)*10</f>
        <v>84800</v>
      </c>
      <c r="O7" s="302">
        <f t="shared" si="4"/>
        <v>2686000</v>
      </c>
      <c r="P7" s="280">
        <f t="shared" si="5"/>
        <v>14770</v>
      </c>
      <c r="Q7" s="280">
        <v>54170</v>
      </c>
      <c r="R7" s="280">
        <f t="shared" si="0"/>
        <v>3540</v>
      </c>
      <c r="S7" s="301">
        <v>82890</v>
      </c>
      <c r="T7" s="306">
        <v>46650</v>
      </c>
      <c r="U7" s="281">
        <f t="shared" si="1"/>
        <v>4660</v>
      </c>
      <c r="V7" s="280">
        <v>20000</v>
      </c>
      <c r="W7" s="302">
        <f t="shared" si="6"/>
        <v>226680</v>
      </c>
      <c r="X7" s="302">
        <v>70000</v>
      </c>
      <c r="Y7" s="302">
        <f t="shared" si="7"/>
        <v>2529320</v>
      </c>
      <c r="Z7" s="303">
        <f t="shared" si="8"/>
        <v>229670</v>
      </c>
    </row>
    <row r="8" spans="1:26" s="275" customFormat="1" ht="29.25" customHeight="1">
      <c r="A8" s="304" t="s">
        <v>225</v>
      </c>
      <c r="B8" s="279" t="s">
        <v>220</v>
      </c>
      <c r="C8" s="298" t="s">
        <v>221</v>
      </c>
      <c r="D8" s="305">
        <v>7</v>
      </c>
      <c r="E8" s="300">
        <v>1122000</v>
      </c>
      <c r="F8" s="280" t="s">
        <v>222</v>
      </c>
      <c r="G8" s="280" t="s">
        <v>222</v>
      </c>
      <c r="H8" s="280">
        <f>E8*50%</f>
        <v>561000</v>
      </c>
      <c r="I8" s="280">
        <v>0</v>
      </c>
      <c r="J8" s="302">
        <f t="shared" si="2"/>
        <v>60000</v>
      </c>
      <c r="K8" s="280">
        <v>135000</v>
      </c>
      <c r="L8" s="302">
        <f t="shared" si="3"/>
        <v>112200</v>
      </c>
      <c r="M8" s="280">
        <v>50000</v>
      </c>
      <c r="N8" s="282">
        <f t="shared" si="9"/>
        <v>84800</v>
      </c>
      <c r="O8" s="302">
        <f t="shared" si="4"/>
        <v>2125000</v>
      </c>
      <c r="P8" s="280">
        <f t="shared" si="5"/>
        <v>11680</v>
      </c>
      <c r="Q8" s="280">
        <v>54170</v>
      </c>
      <c r="R8" s="280">
        <f>3320+3090</f>
        <v>6410</v>
      </c>
      <c r="S8" s="301">
        <v>82890</v>
      </c>
      <c r="T8" s="306">
        <v>20570</v>
      </c>
      <c r="U8" s="281">
        <f t="shared" si="1"/>
        <v>2050</v>
      </c>
      <c r="V8" s="280">
        <v>20000</v>
      </c>
      <c r="W8" s="302">
        <f t="shared" si="6"/>
        <v>197770</v>
      </c>
      <c r="X8" s="302">
        <v>70000</v>
      </c>
      <c r="Y8" s="302">
        <f t="shared" si="7"/>
        <v>1997230</v>
      </c>
      <c r="Z8" s="303">
        <f t="shared" si="8"/>
        <v>182920</v>
      </c>
    </row>
    <row r="9" spans="1:26" s="275" customFormat="1" ht="29.25" customHeight="1">
      <c r="A9" s="304" t="s">
        <v>226</v>
      </c>
      <c r="B9" s="279" t="s">
        <v>220</v>
      </c>
      <c r="C9" s="298" t="s">
        <v>221</v>
      </c>
      <c r="D9" s="305">
        <v>7</v>
      </c>
      <c r="E9" s="300">
        <v>1122000</v>
      </c>
      <c r="F9" s="280" t="s">
        <v>222</v>
      </c>
      <c r="G9" s="280" t="s">
        <v>222</v>
      </c>
      <c r="H9" s="280" t="s">
        <v>222</v>
      </c>
      <c r="I9" s="280">
        <v>0</v>
      </c>
      <c r="J9" s="302">
        <f t="shared" si="2"/>
        <v>60000</v>
      </c>
      <c r="K9" s="280">
        <v>135000</v>
      </c>
      <c r="L9" s="302">
        <f t="shared" si="3"/>
        <v>112200</v>
      </c>
      <c r="M9" s="280">
        <v>50000</v>
      </c>
      <c r="N9" s="282">
        <f t="shared" si="9"/>
        <v>84800</v>
      </c>
      <c r="O9" s="302">
        <f t="shared" si="4"/>
        <v>1564000</v>
      </c>
      <c r="P9" s="280">
        <f t="shared" si="5"/>
        <v>8600</v>
      </c>
      <c r="Q9" s="280">
        <v>54170</v>
      </c>
      <c r="R9" s="280">
        <f>3540+220</f>
        <v>3760</v>
      </c>
      <c r="S9" s="301">
        <v>82890</v>
      </c>
      <c r="T9" s="280">
        <v>8810</v>
      </c>
      <c r="U9" s="281">
        <f t="shared" si="1"/>
        <v>880</v>
      </c>
      <c r="V9" s="280">
        <v>20000</v>
      </c>
      <c r="W9" s="302">
        <f t="shared" si="6"/>
        <v>179110</v>
      </c>
      <c r="X9" s="302">
        <v>70000</v>
      </c>
      <c r="Y9" s="302">
        <f t="shared" si="7"/>
        <v>1454890</v>
      </c>
      <c r="Z9" s="303">
        <f t="shared" si="8"/>
        <v>136170</v>
      </c>
    </row>
    <row r="10" spans="1:26" s="275" customFormat="1" ht="29.25" customHeight="1">
      <c r="A10" s="304" t="s">
        <v>227</v>
      </c>
      <c r="B10" s="279" t="s">
        <v>220</v>
      </c>
      <c r="C10" s="298" t="s">
        <v>221</v>
      </c>
      <c r="D10" s="305">
        <v>7</v>
      </c>
      <c r="E10" s="300">
        <v>1122000</v>
      </c>
      <c r="F10" s="300">
        <f>E10*100%</f>
        <v>1122000</v>
      </c>
      <c r="G10" s="300" t="s">
        <v>222</v>
      </c>
      <c r="H10" s="300" t="s">
        <v>222</v>
      </c>
      <c r="I10" s="300">
        <v>0</v>
      </c>
      <c r="J10" s="302">
        <f t="shared" si="2"/>
        <v>60000</v>
      </c>
      <c r="K10" s="300">
        <v>135000</v>
      </c>
      <c r="L10" s="302">
        <f t="shared" si="3"/>
        <v>112200</v>
      </c>
      <c r="M10" s="300">
        <v>50000</v>
      </c>
      <c r="N10" s="282">
        <f t="shared" si="9"/>
        <v>84800</v>
      </c>
      <c r="O10" s="302">
        <f t="shared" si="4"/>
        <v>2686000</v>
      </c>
      <c r="P10" s="280">
        <f t="shared" si="5"/>
        <v>14770</v>
      </c>
      <c r="Q10" s="280">
        <v>54170</v>
      </c>
      <c r="R10" s="280">
        <f t="shared" si="0"/>
        <v>3540</v>
      </c>
      <c r="S10" s="301">
        <v>82890</v>
      </c>
      <c r="T10" s="300">
        <v>46650</v>
      </c>
      <c r="U10" s="281">
        <f t="shared" si="1"/>
        <v>4660</v>
      </c>
      <c r="V10" s="300">
        <v>20000</v>
      </c>
      <c r="W10" s="302">
        <f t="shared" si="6"/>
        <v>226680</v>
      </c>
      <c r="X10" s="302">
        <v>70000</v>
      </c>
      <c r="Y10" s="302">
        <f t="shared" si="7"/>
        <v>2529320</v>
      </c>
      <c r="Z10" s="303">
        <f t="shared" si="8"/>
        <v>229670</v>
      </c>
    </row>
    <row r="11" spans="1:26" s="275" customFormat="1" ht="29.25" customHeight="1">
      <c r="A11" s="304" t="s">
        <v>228</v>
      </c>
      <c r="B11" s="279" t="s">
        <v>220</v>
      </c>
      <c r="C11" s="298" t="s">
        <v>221</v>
      </c>
      <c r="D11" s="305">
        <v>7</v>
      </c>
      <c r="E11" s="300">
        <v>1122000</v>
      </c>
      <c r="F11" s="280" t="s">
        <v>222</v>
      </c>
      <c r="G11" s="280">
        <f>E11*80%</f>
        <v>897600</v>
      </c>
      <c r="H11" s="280" t="s">
        <v>222</v>
      </c>
      <c r="I11" s="280">
        <v>0</v>
      </c>
      <c r="J11" s="302">
        <f t="shared" si="2"/>
        <v>60000</v>
      </c>
      <c r="K11" s="280">
        <v>135000</v>
      </c>
      <c r="L11" s="302">
        <f t="shared" si="3"/>
        <v>112200</v>
      </c>
      <c r="M11" s="280">
        <v>50000</v>
      </c>
      <c r="N11" s="282">
        <f t="shared" si="9"/>
        <v>84800</v>
      </c>
      <c r="O11" s="302">
        <f t="shared" si="4"/>
        <v>2461600</v>
      </c>
      <c r="P11" s="280">
        <f t="shared" si="5"/>
        <v>13530</v>
      </c>
      <c r="Q11" s="280">
        <v>54170</v>
      </c>
      <c r="R11" s="280">
        <f t="shared" si="0"/>
        <v>3540</v>
      </c>
      <c r="S11" s="301">
        <v>82890</v>
      </c>
      <c r="T11" s="306">
        <v>29090</v>
      </c>
      <c r="U11" s="281">
        <f t="shared" si="1"/>
        <v>2900</v>
      </c>
      <c r="V11" s="280">
        <v>20000</v>
      </c>
      <c r="W11" s="302">
        <f t="shared" si="6"/>
        <v>206120</v>
      </c>
      <c r="X11" s="302">
        <v>70000</v>
      </c>
      <c r="Y11" s="302">
        <f t="shared" si="7"/>
        <v>2325480</v>
      </c>
      <c r="Z11" s="303">
        <f t="shared" si="8"/>
        <v>210970</v>
      </c>
    </row>
    <row r="12" spans="1:26" s="275" customFormat="1" ht="29.25" customHeight="1">
      <c r="A12" s="304" t="s">
        <v>229</v>
      </c>
      <c r="B12" s="279" t="s">
        <v>220</v>
      </c>
      <c r="C12" s="298" t="s">
        <v>221</v>
      </c>
      <c r="D12" s="305">
        <v>7</v>
      </c>
      <c r="E12" s="300">
        <v>1122000</v>
      </c>
      <c r="F12" s="280" t="s">
        <v>222</v>
      </c>
      <c r="G12" s="280" t="s">
        <v>222</v>
      </c>
      <c r="H12" s="280" t="s">
        <v>222</v>
      </c>
      <c r="I12" s="280">
        <v>0</v>
      </c>
      <c r="J12" s="302">
        <f t="shared" si="2"/>
        <v>60000</v>
      </c>
      <c r="K12" s="280">
        <v>135000</v>
      </c>
      <c r="L12" s="302">
        <f t="shared" si="3"/>
        <v>112200</v>
      </c>
      <c r="M12" s="280">
        <v>50000</v>
      </c>
      <c r="N12" s="282">
        <f t="shared" si="9"/>
        <v>84800</v>
      </c>
      <c r="O12" s="302">
        <f t="shared" si="4"/>
        <v>1564000</v>
      </c>
      <c r="P12" s="280">
        <f t="shared" si="5"/>
        <v>8600</v>
      </c>
      <c r="Q12" s="280">
        <v>54170</v>
      </c>
      <c r="R12" s="280">
        <f t="shared" si="0"/>
        <v>3540</v>
      </c>
      <c r="S12" s="301">
        <v>82890</v>
      </c>
      <c r="T12" s="306">
        <v>8810</v>
      </c>
      <c r="U12" s="281">
        <f t="shared" si="1"/>
        <v>880</v>
      </c>
      <c r="V12" s="280">
        <v>20000</v>
      </c>
      <c r="W12" s="302">
        <f t="shared" si="6"/>
        <v>178890</v>
      </c>
      <c r="X12" s="302">
        <v>70000</v>
      </c>
      <c r="Y12" s="302">
        <f t="shared" si="7"/>
        <v>1455110</v>
      </c>
      <c r="Z12" s="303">
        <f t="shared" si="8"/>
        <v>136170</v>
      </c>
    </row>
    <row r="13" spans="1:26" s="275" customFormat="1" ht="29.25" customHeight="1">
      <c r="A13" s="304" t="s">
        <v>230</v>
      </c>
      <c r="B13" s="279" t="s">
        <v>220</v>
      </c>
      <c r="C13" s="298" t="s">
        <v>221</v>
      </c>
      <c r="D13" s="305">
        <v>7</v>
      </c>
      <c r="E13" s="300">
        <v>1122000</v>
      </c>
      <c r="F13" s="280">
        <f>E13*100%</f>
        <v>1122000</v>
      </c>
      <c r="G13" s="280" t="s">
        <v>222</v>
      </c>
      <c r="H13" s="307">
        <f>E13*50%</f>
        <v>561000</v>
      </c>
      <c r="I13" s="280">
        <v>0</v>
      </c>
      <c r="J13" s="302">
        <f t="shared" si="2"/>
        <v>60000</v>
      </c>
      <c r="K13" s="280">
        <v>135000</v>
      </c>
      <c r="L13" s="302">
        <f t="shared" si="3"/>
        <v>112200</v>
      </c>
      <c r="M13" s="280">
        <v>50000</v>
      </c>
      <c r="N13" s="282">
        <f t="shared" si="9"/>
        <v>84800</v>
      </c>
      <c r="O13" s="302">
        <f t="shared" si="4"/>
        <v>3247000</v>
      </c>
      <c r="P13" s="280">
        <f t="shared" si="5"/>
        <v>17850</v>
      </c>
      <c r="Q13" s="280">
        <v>54170</v>
      </c>
      <c r="R13" s="280">
        <f t="shared" si="0"/>
        <v>3540</v>
      </c>
      <c r="S13" s="301">
        <v>82890</v>
      </c>
      <c r="T13" s="306">
        <v>105580</v>
      </c>
      <c r="U13" s="281">
        <f t="shared" si="1"/>
        <v>10550</v>
      </c>
      <c r="V13" s="280">
        <v>20000</v>
      </c>
      <c r="W13" s="302">
        <f t="shared" si="6"/>
        <v>294580</v>
      </c>
      <c r="X13" s="302">
        <v>70000</v>
      </c>
      <c r="Y13" s="302">
        <f t="shared" si="7"/>
        <v>3022420</v>
      </c>
      <c r="Z13" s="303">
        <f t="shared" si="8"/>
        <v>276420</v>
      </c>
    </row>
    <row r="14" spans="1:26" s="275" customFormat="1" ht="29.25" customHeight="1">
      <c r="A14" s="304" t="s">
        <v>231</v>
      </c>
      <c r="B14" s="279" t="s">
        <v>220</v>
      </c>
      <c r="C14" s="298" t="s">
        <v>221</v>
      </c>
      <c r="D14" s="305">
        <v>7</v>
      </c>
      <c r="E14" s="300">
        <v>1122000</v>
      </c>
      <c r="F14" s="280" t="s">
        <v>222</v>
      </c>
      <c r="G14" s="280" t="s">
        <v>222</v>
      </c>
      <c r="H14" s="280" t="s">
        <v>222</v>
      </c>
      <c r="I14" s="280">
        <v>0</v>
      </c>
      <c r="J14" s="302">
        <f t="shared" si="2"/>
        <v>60000</v>
      </c>
      <c r="K14" s="280">
        <v>135000</v>
      </c>
      <c r="L14" s="302">
        <f t="shared" si="3"/>
        <v>112200</v>
      </c>
      <c r="M14" s="280">
        <v>50000</v>
      </c>
      <c r="N14" s="282">
        <f t="shared" si="9"/>
        <v>84800</v>
      </c>
      <c r="O14" s="302">
        <f t="shared" si="4"/>
        <v>1564000</v>
      </c>
      <c r="P14" s="280">
        <f t="shared" si="5"/>
        <v>8600</v>
      </c>
      <c r="Q14" s="280">
        <v>54170</v>
      </c>
      <c r="R14" s="280">
        <f t="shared" si="0"/>
        <v>3540</v>
      </c>
      <c r="S14" s="301">
        <v>82890</v>
      </c>
      <c r="T14" s="306">
        <v>8810</v>
      </c>
      <c r="U14" s="281">
        <f t="shared" si="1"/>
        <v>880</v>
      </c>
      <c r="V14" s="280">
        <v>20000</v>
      </c>
      <c r="W14" s="302">
        <f t="shared" si="6"/>
        <v>178890</v>
      </c>
      <c r="X14" s="302">
        <v>70000</v>
      </c>
      <c r="Y14" s="302">
        <f t="shared" si="7"/>
        <v>1455110</v>
      </c>
      <c r="Z14" s="303">
        <f t="shared" si="8"/>
        <v>136170</v>
      </c>
    </row>
    <row r="15" spans="1:26" s="275" customFormat="1" ht="29.25" customHeight="1">
      <c r="A15" s="308" t="s">
        <v>232</v>
      </c>
      <c r="B15" s="279" t="s">
        <v>220</v>
      </c>
      <c r="C15" s="298" t="s">
        <v>221</v>
      </c>
      <c r="D15" s="305">
        <v>7</v>
      </c>
      <c r="E15" s="300">
        <v>1122000</v>
      </c>
      <c r="F15" s="280" t="s">
        <v>222</v>
      </c>
      <c r="G15" s="280" t="s">
        <v>222</v>
      </c>
      <c r="H15" s="280" t="s">
        <v>222</v>
      </c>
      <c r="I15" s="280">
        <v>0</v>
      </c>
      <c r="J15" s="302">
        <f t="shared" si="2"/>
        <v>60000</v>
      </c>
      <c r="K15" s="280">
        <v>135000</v>
      </c>
      <c r="L15" s="302">
        <f t="shared" si="3"/>
        <v>112200</v>
      </c>
      <c r="M15" s="280">
        <v>50000</v>
      </c>
      <c r="N15" s="282">
        <f t="shared" si="9"/>
        <v>84800</v>
      </c>
      <c r="O15" s="302">
        <f t="shared" si="4"/>
        <v>1564000</v>
      </c>
      <c r="P15" s="280">
        <f t="shared" si="5"/>
        <v>8600</v>
      </c>
      <c r="Q15" s="280">
        <v>54170</v>
      </c>
      <c r="R15" s="280">
        <f t="shared" si="0"/>
        <v>3540</v>
      </c>
      <c r="S15" s="301">
        <v>82890</v>
      </c>
      <c r="T15" s="306">
        <v>8810</v>
      </c>
      <c r="U15" s="281">
        <f t="shared" si="1"/>
        <v>880</v>
      </c>
      <c r="V15" s="280">
        <v>20000</v>
      </c>
      <c r="W15" s="302">
        <f t="shared" si="6"/>
        <v>178890</v>
      </c>
      <c r="X15" s="302">
        <v>70000</v>
      </c>
      <c r="Y15" s="302">
        <f t="shared" si="7"/>
        <v>1455110</v>
      </c>
      <c r="Z15" s="303">
        <f t="shared" si="8"/>
        <v>136170</v>
      </c>
    </row>
    <row r="16" spans="1:26" s="275" customFormat="1" ht="29.25" customHeight="1">
      <c r="A16" s="308" t="s">
        <v>233</v>
      </c>
      <c r="B16" s="283" t="s">
        <v>220</v>
      </c>
      <c r="C16" s="298" t="s">
        <v>221</v>
      </c>
      <c r="D16" s="305">
        <v>7</v>
      </c>
      <c r="E16" s="300">
        <v>1122000</v>
      </c>
      <c r="F16" s="280">
        <f>E16*100%</f>
        <v>1122000</v>
      </c>
      <c r="G16" s="280" t="s">
        <v>222</v>
      </c>
      <c r="H16" s="280" t="s">
        <v>222</v>
      </c>
      <c r="I16" s="280">
        <v>0</v>
      </c>
      <c r="J16" s="302">
        <f t="shared" si="2"/>
        <v>60000</v>
      </c>
      <c r="K16" s="280">
        <v>135000</v>
      </c>
      <c r="L16" s="302">
        <f t="shared" si="3"/>
        <v>112200</v>
      </c>
      <c r="M16" s="280">
        <v>50000</v>
      </c>
      <c r="N16" s="282">
        <f>ROUNDDOWN((E16+J16)*(1/209*1.5),-1)*10+85400</f>
        <v>170200</v>
      </c>
      <c r="O16" s="302">
        <f t="shared" si="4"/>
        <v>2771400</v>
      </c>
      <c r="P16" s="280">
        <f t="shared" si="5"/>
        <v>15240</v>
      </c>
      <c r="Q16" s="280">
        <v>54170</v>
      </c>
      <c r="R16" s="280">
        <f t="shared" si="0"/>
        <v>3540</v>
      </c>
      <c r="S16" s="301">
        <v>82890</v>
      </c>
      <c r="T16" s="306">
        <v>46650</v>
      </c>
      <c r="U16" s="281">
        <f t="shared" si="1"/>
        <v>4660</v>
      </c>
      <c r="V16" s="280">
        <v>20000</v>
      </c>
      <c r="W16" s="302">
        <f t="shared" si="6"/>
        <v>227150</v>
      </c>
      <c r="X16" s="302">
        <v>70000</v>
      </c>
      <c r="Y16" s="302">
        <f t="shared" si="7"/>
        <v>2614250</v>
      </c>
      <c r="Z16" s="303">
        <f t="shared" si="8"/>
        <v>236790</v>
      </c>
    </row>
    <row r="17" spans="1:26" s="275" customFormat="1" ht="29.25" customHeight="1" thickBot="1">
      <c r="A17" s="581" t="s">
        <v>234</v>
      </c>
      <c r="B17" s="582"/>
      <c r="C17" s="582"/>
      <c r="D17" s="583"/>
      <c r="E17" s="309">
        <f>SUM(E5:E16)</f>
        <v>13464000</v>
      </c>
      <c r="F17" s="309">
        <f aca="true" t="shared" si="10" ref="F17:Z17">SUM(F5:F16)</f>
        <v>4488000</v>
      </c>
      <c r="G17" s="309">
        <f t="shared" si="10"/>
        <v>1795200</v>
      </c>
      <c r="H17" s="309">
        <f t="shared" si="10"/>
        <v>1683000</v>
      </c>
      <c r="I17" s="309">
        <f t="shared" si="10"/>
        <v>0</v>
      </c>
      <c r="J17" s="309">
        <f t="shared" si="10"/>
        <v>720000</v>
      </c>
      <c r="K17" s="309">
        <f t="shared" si="10"/>
        <v>1620000</v>
      </c>
      <c r="L17" s="309">
        <f t="shared" si="10"/>
        <v>1346400</v>
      </c>
      <c r="M17" s="309">
        <f t="shared" si="10"/>
        <v>600000</v>
      </c>
      <c r="N17" s="309">
        <f t="shared" si="10"/>
        <v>1018200</v>
      </c>
      <c r="O17" s="309">
        <f t="shared" si="10"/>
        <v>26734800</v>
      </c>
      <c r="P17" s="309">
        <f t="shared" si="10"/>
        <v>146990</v>
      </c>
      <c r="Q17" s="309">
        <f t="shared" si="10"/>
        <v>650040</v>
      </c>
      <c r="R17" s="309">
        <f t="shared" si="10"/>
        <v>45440</v>
      </c>
      <c r="S17" s="309">
        <f t="shared" si="10"/>
        <v>994680</v>
      </c>
      <c r="T17" s="309">
        <f t="shared" si="10"/>
        <v>412450</v>
      </c>
      <c r="U17" s="309">
        <f t="shared" si="10"/>
        <v>41200</v>
      </c>
      <c r="V17" s="309">
        <f t="shared" si="10"/>
        <v>240000</v>
      </c>
      <c r="W17" s="309">
        <f t="shared" si="10"/>
        <v>2530800</v>
      </c>
      <c r="X17" s="309">
        <f t="shared" si="10"/>
        <v>840000</v>
      </c>
      <c r="Y17" s="309">
        <f t="shared" si="10"/>
        <v>25044000</v>
      </c>
      <c r="Z17" s="319">
        <f t="shared" si="10"/>
        <v>2297940</v>
      </c>
    </row>
    <row r="18" spans="1:26" s="275" customFormat="1" ht="25.5" customHeight="1" thickBot="1">
      <c r="A18" s="584" t="s">
        <v>235</v>
      </c>
      <c r="B18" s="584"/>
      <c r="C18" s="584"/>
      <c r="D18" s="584"/>
      <c r="E18" s="584"/>
      <c r="F18" s="584"/>
      <c r="G18" s="584"/>
      <c r="H18" s="584"/>
      <c r="I18" s="584"/>
      <c r="J18" s="584"/>
      <c r="K18" s="584"/>
      <c r="L18" s="584"/>
      <c r="M18" s="584"/>
      <c r="N18" s="584"/>
      <c r="O18" s="584"/>
      <c r="P18" s="584"/>
      <c r="Q18" s="584"/>
      <c r="R18" s="584"/>
      <c r="S18" s="584"/>
      <c r="T18" s="584"/>
      <c r="U18" s="584"/>
      <c r="V18" s="584"/>
      <c r="W18" s="584"/>
      <c r="X18" s="584"/>
      <c r="Y18" s="584"/>
      <c r="Z18" s="584"/>
    </row>
    <row r="19" spans="1:26" s="275" customFormat="1" ht="29.25" customHeight="1">
      <c r="A19" s="601" t="s">
        <v>200</v>
      </c>
      <c r="B19" s="597" t="s">
        <v>201</v>
      </c>
      <c r="C19" s="597" t="s">
        <v>202</v>
      </c>
      <c r="D19" s="603" t="s">
        <v>203</v>
      </c>
      <c r="E19" s="605" t="s">
        <v>204</v>
      </c>
      <c r="F19" s="594" t="s">
        <v>205</v>
      </c>
      <c r="G19" s="596"/>
      <c r="H19" s="592" t="s">
        <v>206</v>
      </c>
      <c r="I19" s="594" t="s">
        <v>207</v>
      </c>
      <c r="J19" s="595"/>
      <c r="K19" s="595"/>
      <c r="L19" s="595"/>
      <c r="M19" s="595"/>
      <c r="N19" s="596"/>
      <c r="O19" s="597" t="s">
        <v>208</v>
      </c>
      <c r="P19" s="597" t="s">
        <v>209</v>
      </c>
      <c r="Q19" s="597"/>
      <c r="R19" s="597"/>
      <c r="S19" s="597"/>
      <c r="T19" s="597"/>
      <c r="U19" s="597"/>
      <c r="V19" s="597"/>
      <c r="W19" s="597"/>
      <c r="X19" s="599" t="s">
        <v>176</v>
      </c>
      <c r="Y19" s="597" t="s">
        <v>210</v>
      </c>
      <c r="Z19" s="579" t="s">
        <v>123</v>
      </c>
    </row>
    <row r="20" spans="1:26" s="275" customFormat="1" ht="29.25" customHeight="1">
      <c r="A20" s="602"/>
      <c r="B20" s="598"/>
      <c r="C20" s="598"/>
      <c r="D20" s="604"/>
      <c r="E20" s="606"/>
      <c r="F20" s="277" t="s">
        <v>171</v>
      </c>
      <c r="G20" s="277" t="s">
        <v>172</v>
      </c>
      <c r="H20" s="593"/>
      <c r="I20" s="277" t="s">
        <v>175</v>
      </c>
      <c r="J20" s="278" t="s">
        <v>236</v>
      </c>
      <c r="K20" s="277" t="s">
        <v>212</v>
      </c>
      <c r="L20" s="277" t="s">
        <v>173</v>
      </c>
      <c r="M20" s="277" t="s">
        <v>174</v>
      </c>
      <c r="N20" s="277" t="s">
        <v>177</v>
      </c>
      <c r="O20" s="598"/>
      <c r="P20" s="277" t="s">
        <v>179</v>
      </c>
      <c r="Q20" s="277" t="s">
        <v>213</v>
      </c>
      <c r="R20" s="279" t="s">
        <v>214</v>
      </c>
      <c r="S20" s="277" t="s">
        <v>178</v>
      </c>
      <c r="T20" s="277" t="s">
        <v>215</v>
      </c>
      <c r="U20" s="277" t="s">
        <v>216</v>
      </c>
      <c r="V20" s="277" t="s">
        <v>217</v>
      </c>
      <c r="W20" s="277" t="s">
        <v>218</v>
      </c>
      <c r="X20" s="600"/>
      <c r="Y20" s="598"/>
      <c r="Z20" s="580"/>
    </row>
    <row r="21" spans="1:26" s="275" customFormat="1" ht="29.25" customHeight="1">
      <c r="A21" s="286" t="s">
        <v>219</v>
      </c>
      <c r="B21" s="281" t="s">
        <v>237</v>
      </c>
      <c r="C21" s="310" t="s">
        <v>238</v>
      </c>
      <c r="D21" s="287">
        <v>9</v>
      </c>
      <c r="E21" s="300">
        <v>1313000</v>
      </c>
      <c r="F21" s="301" t="s">
        <v>222</v>
      </c>
      <c r="G21" s="301">
        <f>E21*90%</f>
        <v>1181700</v>
      </c>
      <c r="H21" s="301">
        <v>0</v>
      </c>
      <c r="I21" s="301">
        <v>50000</v>
      </c>
      <c r="J21" s="280">
        <f>30000+30000</f>
        <v>60000</v>
      </c>
      <c r="K21" s="280">
        <v>190000</v>
      </c>
      <c r="L21" s="280">
        <f>E21*10%</f>
        <v>131300</v>
      </c>
      <c r="M21" s="280">
        <v>50000</v>
      </c>
      <c r="N21" s="280"/>
      <c r="O21" s="280">
        <f>SUM(E21:N21)</f>
        <v>2976000</v>
      </c>
      <c r="P21" s="280">
        <f>ROUNDDOWN((O21*0.55%),-1)</f>
        <v>16360</v>
      </c>
      <c r="Q21" s="280">
        <v>59410</v>
      </c>
      <c r="R21" s="280">
        <f aca="true" t="shared" si="11" ref="R21:R32">ROUNDDOWN((Q21*6.55%),-1)</f>
        <v>3890</v>
      </c>
      <c r="S21" s="301">
        <v>90900</v>
      </c>
      <c r="T21" s="295">
        <v>147290</v>
      </c>
      <c r="U21" s="281">
        <f aca="true" t="shared" si="12" ref="U21:U32">ROUNDDOWN((T21*10%),-1)</f>
        <v>14720</v>
      </c>
      <c r="V21" s="280">
        <v>20000</v>
      </c>
      <c r="W21" s="302">
        <f>SUM(P21:V21)</f>
        <v>352570</v>
      </c>
      <c r="X21" s="302">
        <v>70000</v>
      </c>
      <c r="Y21" s="280">
        <f>O21-W21+X21</f>
        <v>2693430</v>
      </c>
      <c r="Z21" s="303">
        <f aca="true" t="shared" si="13" ref="Z21:Z32">ROUNDUP(((O21+X21)/12),-1)</f>
        <v>253840</v>
      </c>
    </row>
    <row r="22" spans="1:26" s="275" customFormat="1" ht="29.25" customHeight="1">
      <c r="A22" s="288" t="s">
        <v>223</v>
      </c>
      <c r="B22" s="281" t="s">
        <v>237</v>
      </c>
      <c r="C22" s="294" t="s">
        <v>238</v>
      </c>
      <c r="D22" s="281">
        <v>9</v>
      </c>
      <c r="E22" s="300">
        <v>1313000</v>
      </c>
      <c r="F22" s="280" t="s">
        <v>222</v>
      </c>
      <c r="G22" s="280" t="s">
        <v>222</v>
      </c>
      <c r="H22" s="301">
        <f>E22*50%</f>
        <v>656500</v>
      </c>
      <c r="I22" s="301">
        <v>50000</v>
      </c>
      <c r="J22" s="280">
        <f aca="true" t="shared" si="14" ref="J22:J32">30000+30000</f>
        <v>60000</v>
      </c>
      <c r="K22" s="280">
        <v>190000</v>
      </c>
      <c r="L22" s="280">
        <f aca="true" t="shared" si="15" ref="L22:L32">E22*10%</f>
        <v>131300</v>
      </c>
      <c r="M22" s="280">
        <v>50000</v>
      </c>
      <c r="N22" s="282">
        <f>ROUNDDOWN((E22+J22)*(1/209*1.5),-1)*10</f>
        <v>98500</v>
      </c>
      <c r="O22" s="280">
        <f aca="true" t="shared" si="16" ref="O22:O32">SUM(E22:N22)</f>
        <v>2549300</v>
      </c>
      <c r="P22" s="280">
        <f aca="true" t="shared" si="17" ref="P22:P32">ROUNDDOWN((O22*0.55%),-1)</f>
        <v>14020</v>
      </c>
      <c r="Q22" s="280">
        <v>59410</v>
      </c>
      <c r="R22" s="280">
        <f t="shared" si="11"/>
        <v>3890</v>
      </c>
      <c r="S22" s="301">
        <v>90900</v>
      </c>
      <c r="T22" s="306">
        <v>13810</v>
      </c>
      <c r="U22" s="281">
        <f t="shared" si="12"/>
        <v>1380</v>
      </c>
      <c r="V22" s="280">
        <v>20000</v>
      </c>
      <c r="W22" s="302">
        <f aca="true" t="shared" si="18" ref="W22:W32">SUM(P22:V22)</f>
        <v>203410</v>
      </c>
      <c r="X22" s="302">
        <v>70000</v>
      </c>
      <c r="Y22" s="280">
        <f aca="true" t="shared" si="19" ref="Y22:Y32">O22-W22+X22</f>
        <v>2415890</v>
      </c>
      <c r="Z22" s="303">
        <f t="shared" si="13"/>
        <v>218280</v>
      </c>
    </row>
    <row r="23" spans="1:26" s="275" customFormat="1" ht="29.25" customHeight="1">
      <c r="A23" s="288" t="s">
        <v>224</v>
      </c>
      <c r="B23" s="281" t="s">
        <v>237</v>
      </c>
      <c r="C23" s="294" t="s">
        <v>238</v>
      </c>
      <c r="D23" s="281">
        <v>9</v>
      </c>
      <c r="E23" s="300">
        <v>1313000</v>
      </c>
      <c r="F23" s="280">
        <f>E23*100%</f>
        <v>1313000</v>
      </c>
      <c r="G23" s="280" t="s">
        <v>222</v>
      </c>
      <c r="H23" s="280" t="s">
        <v>222</v>
      </c>
      <c r="I23" s="301">
        <v>50000</v>
      </c>
      <c r="J23" s="280">
        <f t="shared" si="14"/>
        <v>60000</v>
      </c>
      <c r="K23" s="280">
        <v>190000</v>
      </c>
      <c r="L23" s="280">
        <f t="shared" si="15"/>
        <v>131300</v>
      </c>
      <c r="M23" s="280">
        <v>50000</v>
      </c>
      <c r="N23" s="282">
        <f aca="true" t="shared" si="20" ref="N23:N31">ROUNDDOWN((E23+J23)*(1/209*1.5),-1)*10</f>
        <v>98500</v>
      </c>
      <c r="O23" s="280">
        <f t="shared" si="16"/>
        <v>3205800</v>
      </c>
      <c r="P23" s="280">
        <f t="shared" si="17"/>
        <v>17630</v>
      </c>
      <c r="Q23" s="280">
        <v>59410</v>
      </c>
      <c r="R23" s="280">
        <f t="shared" si="11"/>
        <v>3890</v>
      </c>
      <c r="S23" s="301">
        <v>90900</v>
      </c>
      <c r="T23" s="306">
        <v>91890</v>
      </c>
      <c r="U23" s="281">
        <f t="shared" si="12"/>
        <v>9180</v>
      </c>
      <c r="V23" s="280">
        <v>20000</v>
      </c>
      <c r="W23" s="302">
        <f t="shared" si="18"/>
        <v>292900</v>
      </c>
      <c r="X23" s="302">
        <v>70000</v>
      </c>
      <c r="Y23" s="280">
        <f t="shared" si="19"/>
        <v>2982900</v>
      </c>
      <c r="Z23" s="303">
        <f t="shared" si="13"/>
        <v>272990</v>
      </c>
    </row>
    <row r="24" spans="1:26" s="275" customFormat="1" ht="29.25" customHeight="1">
      <c r="A24" s="288" t="s">
        <v>225</v>
      </c>
      <c r="B24" s="281" t="s">
        <v>237</v>
      </c>
      <c r="C24" s="294" t="s">
        <v>238</v>
      </c>
      <c r="D24" s="281">
        <v>9</v>
      </c>
      <c r="E24" s="300">
        <v>1313000</v>
      </c>
      <c r="F24" s="280" t="s">
        <v>222</v>
      </c>
      <c r="G24" s="280" t="s">
        <v>222</v>
      </c>
      <c r="H24" s="280">
        <f>E24*50%</f>
        <v>656500</v>
      </c>
      <c r="I24" s="301">
        <v>50000</v>
      </c>
      <c r="J24" s="280">
        <f t="shared" si="14"/>
        <v>60000</v>
      </c>
      <c r="K24" s="280">
        <v>190000</v>
      </c>
      <c r="L24" s="280">
        <f t="shared" si="15"/>
        <v>131300</v>
      </c>
      <c r="M24" s="280">
        <v>50000</v>
      </c>
      <c r="N24" s="282">
        <f t="shared" si="20"/>
        <v>98500</v>
      </c>
      <c r="O24" s="280">
        <f t="shared" si="16"/>
        <v>2549300</v>
      </c>
      <c r="P24" s="280">
        <f t="shared" si="17"/>
        <v>14020</v>
      </c>
      <c r="Q24" s="280">
        <v>59410</v>
      </c>
      <c r="R24" s="280">
        <f t="shared" si="11"/>
        <v>3890</v>
      </c>
      <c r="S24" s="301">
        <v>90900</v>
      </c>
      <c r="T24" s="306">
        <v>31380</v>
      </c>
      <c r="U24" s="281">
        <f t="shared" si="12"/>
        <v>3130</v>
      </c>
      <c r="V24" s="280">
        <v>20000</v>
      </c>
      <c r="W24" s="302">
        <f t="shared" si="18"/>
        <v>222730</v>
      </c>
      <c r="X24" s="302">
        <v>70000</v>
      </c>
      <c r="Y24" s="280">
        <f t="shared" si="19"/>
        <v>2396570</v>
      </c>
      <c r="Z24" s="303">
        <f t="shared" si="13"/>
        <v>218280</v>
      </c>
    </row>
    <row r="25" spans="1:26" s="275" customFormat="1" ht="29.25" customHeight="1">
      <c r="A25" s="288" t="s">
        <v>226</v>
      </c>
      <c r="B25" s="281" t="s">
        <v>237</v>
      </c>
      <c r="C25" s="294" t="s">
        <v>238</v>
      </c>
      <c r="D25" s="281">
        <v>9</v>
      </c>
      <c r="E25" s="300">
        <v>1313000</v>
      </c>
      <c r="F25" s="280" t="s">
        <v>222</v>
      </c>
      <c r="G25" s="280" t="s">
        <v>222</v>
      </c>
      <c r="H25" s="280" t="s">
        <v>222</v>
      </c>
      <c r="I25" s="301">
        <v>50000</v>
      </c>
      <c r="J25" s="280">
        <f t="shared" si="14"/>
        <v>60000</v>
      </c>
      <c r="K25" s="280">
        <v>190000</v>
      </c>
      <c r="L25" s="280">
        <f t="shared" si="15"/>
        <v>131300</v>
      </c>
      <c r="M25" s="280">
        <v>50000</v>
      </c>
      <c r="N25" s="282">
        <f t="shared" si="20"/>
        <v>98500</v>
      </c>
      <c r="O25" s="280">
        <f t="shared" si="16"/>
        <v>1892800</v>
      </c>
      <c r="P25" s="280">
        <f t="shared" si="17"/>
        <v>10410</v>
      </c>
      <c r="Q25" s="280">
        <v>59410</v>
      </c>
      <c r="R25" s="280">
        <f t="shared" si="11"/>
        <v>3890</v>
      </c>
      <c r="S25" s="301">
        <v>90900</v>
      </c>
      <c r="T25" s="306">
        <v>13810</v>
      </c>
      <c r="U25" s="281">
        <f t="shared" si="12"/>
        <v>1380</v>
      </c>
      <c r="V25" s="280">
        <v>20000</v>
      </c>
      <c r="W25" s="302">
        <f t="shared" si="18"/>
        <v>199800</v>
      </c>
      <c r="X25" s="302">
        <v>70000</v>
      </c>
      <c r="Y25" s="280">
        <f t="shared" si="19"/>
        <v>1763000</v>
      </c>
      <c r="Z25" s="303">
        <f t="shared" si="13"/>
        <v>163570</v>
      </c>
    </row>
    <row r="26" spans="1:26" s="275" customFormat="1" ht="29.25" customHeight="1">
      <c r="A26" s="288" t="s">
        <v>227</v>
      </c>
      <c r="B26" s="281" t="s">
        <v>237</v>
      </c>
      <c r="C26" s="294" t="s">
        <v>238</v>
      </c>
      <c r="D26" s="281">
        <v>9</v>
      </c>
      <c r="E26" s="300">
        <v>1313000</v>
      </c>
      <c r="F26" s="280">
        <f>E26*100%</f>
        <v>1313000</v>
      </c>
      <c r="G26" s="280" t="s">
        <v>222</v>
      </c>
      <c r="H26" s="280" t="s">
        <v>222</v>
      </c>
      <c r="I26" s="301">
        <v>50000</v>
      </c>
      <c r="J26" s="280">
        <f t="shared" si="14"/>
        <v>60000</v>
      </c>
      <c r="K26" s="280">
        <v>190000</v>
      </c>
      <c r="L26" s="280">
        <f t="shared" si="15"/>
        <v>131300</v>
      </c>
      <c r="M26" s="280">
        <v>50000</v>
      </c>
      <c r="N26" s="282">
        <f t="shared" si="20"/>
        <v>98500</v>
      </c>
      <c r="O26" s="280">
        <f t="shared" si="16"/>
        <v>3205800</v>
      </c>
      <c r="P26" s="280">
        <f t="shared" si="17"/>
        <v>17630</v>
      </c>
      <c r="Q26" s="280">
        <v>59410</v>
      </c>
      <c r="R26" s="280">
        <f t="shared" si="11"/>
        <v>3890</v>
      </c>
      <c r="S26" s="301">
        <v>90900</v>
      </c>
      <c r="T26" s="306">
        <v>91890</v>
      </c>
      <c r="U26" s="281">
        <f t="shared" si="12"/>
        <v>9180</v>
      </c>
      <c r="V26" s="280">
        <v>20000</v>
      </c>
      <c r="W26" s="302">
        <f t="shared" si="18"/>
        <v>292900</v>
      </c>
      <c r="X26" s="302">
        <v>70000</v>
      </c>
      <c r="Y26" s="280">
        <f t="shared" si="19"/>
        <v>2982900</v>
      </c>
      <c r="Z26" s="303">
        <f t="shared" si="13"/>
        <v>272990</v>
      </c>
    </row>
    <row r="27" spans="1:26" s="275" customFormat="1" ht="29.25" customHeight="1">
      <c r="A27" s="288" t="s">
        <v>228</v>
      </c>
      <c r="B27" s="281" t="s">
        <v>237</v>
      </c>
      <c r="C27" s="294" t="s">
        <v>238</v>
      </c>
      <c r="D27" s="281">
        <v>9</v>
      </c>
      <c r="E27" s="300">
        <v>1313000</v>
      </c>
      <c r="F27" s="280" t="s">
        <v>222</v>
      </c>
      <c r="G27" s="280">
        <f>E27*90%</f>
        <v>1181700</v>
      </c>
      <c r="H27" s="280" t="s">
        <v>222</v>
      </c>
      <c r="I27" s="301">
        <v>50000</v>
      </c>
      <c r="J27" s="280">
        <f t="shared" si="14"/>
        <v>60000</v>
      </c>
      <c r="K27" s="280">
        <v>190000</v>
      </c>
      <c r="L27" s="280">
        <f t="shared" si="15"/>
        <v>131300</v>
      </c>
      <c r="M27" s="280">
        <v>50000</v>
      </c>
      <c r="N27" s="282">
        <f t="shared" si="20"/>
        <v>98500</v>
      </c>
      <c r="O27" s="280">
        <f t="shared" si="16"/>
        <v>3074500</v>
      </c>
      <c r="P27" s="280">
        <f t="shared" si="17"/>
        <v>16900</v>
      </c>
      <c r="Q27" s="280">
        <v>59410</v>
      </c>
      <c r="R27" s="280">
        <f t="shared" si="11"/>
        <v>3890</v>
      </c>
      <c r="S27" s="301">
        <v>90900</v>
      </c>
      <c r="T27" s="306">
        <v>69480</v>
      </c>
      <c r="U27" s="281">
        <f t="shared" si="12"/>
        <v>6940</v>
      </c>
      <c r="V27" s="280">
        <v>20000</v>
      </c>
      <c r="W27" s="302">
        <f t="shared" si="18"/>
        <v>267520</v>
      </c>
      <c r="X27" s="302">
        <v>70000</v>
      </c>
      <c r="Y27" s="280">
        <f t="shared" si="19"/>
        <v>2876980</v>
      </c>
      <c r="Z27" s="303">
        <f t="shared" si="13"/>
        <v>262050</v>
      </c>
    </row>
    <row r="28" spans="1:26" s="275" customFormat="1" ht="29.25" customHeight="1">
      <c r="A28" s="288" t="s">
        <v>229</v>
      </c>
      <c r="B28" s="281" t="s">
        <v>237</v>
      </c>
      <c r="C28" s="294" t="s">
        <v>238</v>
      </c>
      <c r="D28" s="281">
        <v>9</v>
      </c>
      <c r="E28" s="300">
        <v>1313000</v>
      </c>
      <c r="F28" s="280" t="s">
        <v>222</v>
      </c>
      <c r="G28" s="280" t="s">
        <v>222</v>
      </c>
      <c r="H28" s="280" t="s">
        <v>222</v>
      </c>
      <c r="I28" s="301">
        <v>50000</v>
      </c>
      <c r="J28" s="280">
        <f t="shared" si="14"/>
        <v>60000</v>
      </c>
      <c r="K28" s="280">
        <v>190000</v>
      </c>
      <c r="L28" s="280">
        <f t="shared" si="15"/>
        <v>131300</v>
      </c>
      <c r="M28" s="280">
        <v>50000</v>
      </c>
      <c r="N28" s="282">
        <f t="shared" si="20"/>
        <v>98500</v>
      </c>
      <c r="O28" s="280">
        <f t="shared" si="16"/>
        <v>1892800</v>
      </c>
      <c r="P28" s="280">
        <f t="shared" si="17"/>
        <v>10410</v>
      </c>
      <c r="Q28" s="280">
        <v>59410</v>
      </c>
      <c r="R28" s="280">
        <f t="shared" si="11"/>
        <v>3890</v>
      </c>
      <c r="S28" s="301">
        <v>90900</v>
      </c>
      <c r="T28" s="306">
        <v>13810</v>
      </c>
      <c r="U28" s="281">
        <f t="shared" si="12"/>
        <v>1380</v>
      </c>
      <c r="V28" s="280">
        <v>20000</v>
      </c>
      <c r="W28" s="302">
        <f t="shared" si="18"/>
        <v>199800</v>
      </c>
      <c r="X28" s="302">
        <v>70000</v>
      </c>
      <c r="Y28" s="280">
        <f t="shared" si="19"/>
        <v>1763000</v>
      </c>
      <c r="Z28" s="303">
        <f t="shared" si="13"/>
        <v>163570</v>
      </c>
    </row>
    <row r="29" spans="1:26" s="275" customFormat="1" ht="29.25" customHeight="1">
      <c r="A29" s="288" t="s">
        <v>230</v>
      </c>
      <c r="B29" s="281" t="s">
        <v>237</v>
      </c>
      <c r="C29" s="294" t="s">
        <v>238</v>
      </c>
      <c r="D29" s="281">
        <v>9</v>
      </c>
      <c r="E29" s="300">
        <v>1313000</v>
      </c>
      <c r="F29" s="280">
        <f>E29*100%</f>
        <v>1313000</v>
      </c>
      <c r="G29" s="280" t="s">
        <v>222</v>
      </c>
      <c r="H29" s="307">
        <f>E29*50%</f>
        <v>656500</v>
      </c>
      <c r="I29" s="301">
        <v>50000</v>
      </c>
      <c r="J29" s="280">
        <f t="shared" si="14"/>
        <v>60000</v>
      </c>
      <c r="K29" s="280">
        <v>190000</v>
      </c>
      <c r="L29" s="280">
        <f t="shared" si="15"/>
        <v>131300</v>
      </c>
      <c r="M29" s="280">
        <v>50000</v>
      </c>
      <c r="N29" s="282">
        <f t="shared" si="20"/>
        <v>98500</v>
      </c>
      <c r="O29" s="280">
        <f t="shared" si="16"/>
        <v>3862300</v>
      </c>
      <c r="P29" s="280">
        <f t="shared" si="17"/>
        <v>21240</v>
      </c>
      <c r="Q29" s="280">
        <v>59410</v>
      </c>
      <c r="R29" s="280">
        <f t="shared" si="11"/>
        <v>3890</v>
      </c>
      <c r="S29" s="301">
        <v>90900</v>
      </c>
      <c r="T29" s="306">
        <v>169700</v>
      </c>
      <c r="U29" s="281">
        <f t="shared" si="12"/>
        <v>16970</v>
      </c>
      <c r="V29" s="280">
        <v>20000</v>
      </c>
      <c r="W29" s="302">
        <f t="shared" si="18"/>
        <v>382110</v>
      </c>
      <c r="X29" s="302">
        <v>70000</v>
      </c>
      <c r="Y29" s="280">
        <f t="shared" si="19"/>
        <v>3550190</v>
      </c>
      <c r="Z29" s="303">
        <f t="shared" si="13"/>
        <v>327700</v>
      </c>
    </row>
    <row r="30" spans="1:26" s="275" customFormat="1" ht="29.25" customHeight="1">
      <c r="A30" s="288" t="s">
        <v>231</v>
      </c>
      <c r="B30" s="281" t="s">
        <v>237</v>
      </c>
      <c r="C30" s="294" t="s">
        <v>238</v>
      </c>
      <c r="D30" s="281">
        <v>10</v>
      </c>
      <c r="E30" s="300">
        <v>1346000</v>
      </c>
      <c r="F30" s="280" t="s">
        <v>222</v>
      </c>
      <c r="G30" s="280" t="s">
        <v>222</v>
      </c>
      <c r="H30" s="280" t="s">
        <v>222</v>
      </c>
      <c r="I30" s="301">
        <v>50000</v>
      </c>
      <c r="J30" s="280">
        <f t="shared" si="14"/>
        <v>60000</v>
      </c>
      <c r="K30" s="280">
        <v>190000</v>
      </c>
      <c r="L30" s="280">
        <f t="shared" si="15"/>
        <v>134600</v>
      </c>
      <c r="M30" s="280">
        <v>50000</v>
      </c>
      <c r="N30" s="282">
        <f>ROUNDDOWN((E29+J30)*(1/209*1.5),-1)*10</f>
        <v>98500</v>
      </c>
      <c r="O30" s="280">
        <f t="shared" si="16"/>
        <v>1929100</v>
      </c>
      <c r="P30" s="280">
        <f t="shared" si="17"/>
        <v>10610</v>
      </c>
      <c r="Q30" s="280">
        <v>59410</v>
      </c>
      <c r="R30" s="280">
        <f t="shared" si="11"/>
        <v>3890</v>
      </c>
      <c r="S30" s="301">
        <v>90900</v>
      </c>
      <c r="T30" s="306">
        <v>14650</v>
      </c>
      <c r="U30" s="281">
        <f t="shared" si="12"/>
        <v>1460</v>
      </c>
      <c r="V30" s="280">
        <v>20000</v>
      </c>
      <c r="W30" s="302">
        <f t="shared" si="18"/>
        <v>200920</v>
      </c>
      <c r="X30" s="302">
        <v>70000</v>
      </c>
      <c r="Y30" s="280">
        <f t="shared" si="19"/>
        <v>1798180</v>
      </c>
      <c r="Z30" s="303">
        <f t="shared" si="13"/>
        <v>166600</v>
      </c>
    </row>
    <row r="31" spans="1:26" s="275" customFormat="1" ht="29.25" customHeight="1">
      <c r="A31" s="289" t="s">
        <v>232</v>
      </c>
      <c r="B31" s="281" t="s">
        <v>237</v>
      </c>
      <c r="C31" s="294" t="s">
        <v>238</v>
      </c>
      <c r="D31" s="281">
        <v>10</v>
      </c>
      <c r="E31" s="300">
        <v>1346000</v>
      </c>
      <c r="F31" s="280" t="s">
        <v>222</v>
      </c>
      <c r="G31" s="280" t="s">
        <v>222</v>
      </c>
      <c r="H31" s="280" t="s">
        <v>222</v>
      </c>
      <c r="I31" s="280">
        <f>30000+20000</f>
        <v>50000</v>
      </c>
      <c r="J31" s="280">
        <f t="shared" si="14"/>
        <v>60000</v>
      </c>
      <c r="K31" s="280">
        <v>190000</v>
      </c>
      <c r="L31" s="280">
        <f t="shared" si="15"/>
        <v>134600</v>
      </c>
      <c r="M31" s="280">
        <v>50000</v>
      </c>
      <c r="N31" s="282">
        <f t="shared" si="20"/>
        <v>100900</v>
      </c>
      <c r="O31" s="280">
        <f t="shared" si="16"/>
        <v>1931500</v>
      </c>
      <c r="P31" s="280">
        <f t="shared" si="17"/>
        <v>10620</v>
      </c>
      <c r="Q31" s="280">
        <v>59410</v>
      </c>
      <c r="R31" s="280">
        <f t="shared" si="11"/>
        <v>3890</v>
      </c>
      <c r="S31" s="301">
        <v>90900</v>
      </c>
      <c r="T31" s="306">
        <v>14650</v>
      </c>
      <c r="U31" s="281">
        <f t="shared" si="12"/>
        <v>1460</v>
      </c>
      <c r="V31" s="280">
        <v>20000</v>
      </c>
      <c r="W31" s="302">
        <f t="shared" si="18"/>
        <v>200930</v>
      </c>
      <c r="X31" s="302">
        <v>70000</v>
      </c>
      <c r="Y31" s="280">
        <f t="shared" si="19"/>
        <v>1800570</v>
      </c>
      <c r="Z31" s="303">
        <f t="shared" si="13"/>
        <v>166800</v>
      </c>
    </row>
    <row r="32" spans="1:26" s="275" customFormat="1" ht="29.25" customHeight="1">
      <c r="A32" s="289" t="s">
        <v>239</v>
      </c>
      <c r="B32" s="281" t="s">
        <v>237</v>
      </c>
      <c r="C32" s="294" t="s">
        <v>238</v>
      </c>
      <c r="D32" s="281">
        <v>10</v>
      </c>
      <c r="E32" s="300">
        <v>1346000</v>
      </c>
      <c r="F32" s="280">
        <f>E32*100%</f>
        <v>1346000</v>
      </c>
      <c r="G32" s="280" t="s">
        <v>222</v>
      </c>
      <c r="H32" s="280" t="s">
        <v>222</v>
      </c>
      <c r="I32" s="280">
        <f>30000+20000</f>
        <v>50000</v>
      </c>
      <c r="J32" s="280">
        <f t="shared" si="14"/>
        <v>60000</v>
      </c>
      <c r="K32" s="280">
        <v>190000</v>
      </c>
      <c r="L32" s="280">
        <f t="shared" si="15"/>
        <v>134600</v>
      </c>
      <c r="M32" s="280">
        <v>50000</v>
      </c>
      <c r="N32" s="282">
        <f>ROUNDDOWN((E32+J32)*(1/209*1.5),-1)*10+101600</f>
        <v>202500</v>
      </c>
      <c r="O32" s="280">
        <f t="shared" si="16"/>
        <v>3379100</v>
      </c>
      <c r="P32" s="280">
        <f t="shared" si="17"/>
        <v>18580</v>
      </c>
      <c r="Q32" s="280">
        <v>59410</v>
      </c>
      <c r="R32" s="280">
        <f t="shared" si="11"/>
        <v>3890</v>
      </c>
      <c r="S32" s="301">
        <v>90900</v>
      </c>
      <c r="T32" s="306">
        <v>103090</v>
      </c>
      <c r="U32" s="281">
        <f t="shared" si="12"/>
        <v>10300</v>
      </c>
      <c r="V32" s="280">
        <v>20000</v>
      </c>
      <c r="W32" s="302">
        <f t="shared" si="18"/>
        <v>306170</v>
      </c>
      <c r="X32" s="302">
        <v>70000</v>
      </c>
      <c r="Y32" s="280">
        <f t="shared" si="19"/>
        <v>3142930</v>
      </c>
      <c r="Z32" s="303">
        <f t="shared" si="13"/>
        <v>287430</v>
      </c>
    </row>
    <row r="33" spans="1:27" s="291" customFormat="1" ht="29.25" customHeight="1" thickBot="1">
      <c r="A33" s="581" t="s">
        <v>234</v>
      </c>
      <c r="B33" s="582"/>
      <c r="C33" s="582"/>
      <c r="D33" s="583"/>
      <c r="E33" s="309">
        <f>SUM(E21:E32)</f>
        <v>15855000</v>
      </c>
      <c r="F33" s="309">
        <f aca="true" t="shared" si="21" ref="F33:Z33">SUM(F21:F32)</f>
        <v>5285000</v>
      </c>
      <c r="G33" s="309">
        <f t="shared" si="21"/>
        <v>2363400</v>
      </c>
      <c r="H33" s="309">
        <f t="shared" si="21"/>
        <v>1969500</v>
      </c>
      <c r="I33" s="309">
        <f t="shared" si="21"/>
        <v>600000</v>
      </c>
      <c r="J33" s="309">
        <f t="shared" si="21"/>
        <v>720000</v>
      </c>
      <c r="K33" s="309">
        <f t="shared" si="21"/>
        <v>2280000</v>
      </c>
      <c r="L33" s="309">
        <f t="shared" si="21"/>
        <v>1585500</v>
      </c>
      <c r="M33" s="309">
        <f t="shared" si="21"/>
        <v>600000</v>
      </c>
      <c r="N33" s="309">
        <f t="shared" si="21"/>
        <v>1189900</v>
      </c>
      <c r="O33" s="309">
        <f t="shared" si="21"/>
        <v>32448300</v>
      </c>
      <c r="P33" s="309">
        <f t="shared" si="21"/>
        <v>178430</v>
      </c>
      <c r="Q33" s="309">
        <f t="shared" si="21"/>
        <v>712920</v>
      </c>
      <c r="R33" s="309">
        <f t="shared" si="21"/>
        <v>46680</v>
      </c>
      <c r="S33" s="309">
        <f t="shared" si="21"/>
        <v>1090800</v>
      </c>
      <c r="T33" s="309">
        <f t="shared" si="21"/>
        <v>775450</v>
      </c>
      <c r="U33" s="309">
        <f t="shared" si="21"/>
        <v>77480</v>
      </c>
      <c r="V33" s="309">
        <f t="shared" si="21"/>
        <v>240000</v>
      </c>
      <c r="W33" s="309">
        <f t="shared" si="21"/>
        <v>3121760</v>
      </c>
      <c r="X33" s="309">
        <f t="shared" si="21"/>
        <v>840000</v>
      </c>
      <c r="Y33" s="309">
        <f t="shared" si="21"/>
        <v>30166540</v>
      </c>
      <c r="Z33" s="319">
        <f t="shared" si="21"/>
        <v>2774100</v>
      </c>
      <c r="AA33" s="290"/>
    </row>
    <row r="34" spans="1:79" s="275" customFormat="1" ht="13.5">
      <c r="A34" s="284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5"/>
      <c r="S34" s="284"/>
      <c r="T34" s="284"/>
      <c r="U34" s="284"/>
      <c r="V34" s="284"/>
      <c r="W34" s="284"/>
      <c r="X34" s="284"/>
      <c r="Y34" s="284"/>
      <c r="Z34" s="284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</row>
    <row r="35" spans="1:79" s="275" customFormat="1" ht="40.5" customHeight="1">
      <c r="A35" s="28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5"/>
      <c r="S35" s="284"/>
      <c r="T35" s="284"/>
      <c r="U35" s="284"/>
      <c r="V35" s="284"/>
      <c r="W35" s="284"/>
      <c r="X35" s="284"/>
      <c r="Y35" s="284"/>
      <c r="Z35" s="284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</row>
    <row r="36" spans="1:79" s="275" customFormat="1" ht="30" customHeight="1">
      <c r="A36" s="584" t="s">
        <v>240</v>
      </c>
      <c r="B36" s="584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4"/>
      <c r="S36" s="584"/>
      <c r="T36" s="584"/>
      <c r="U36" s="584"/>
      <c r="V36" s="584"/>
      <c r="W36" s="584"/>
      <c r="X36" s="584"/>
      <c r="Y36" s="584"/>
      <c r="Z36" s="584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</row>
    <row r="37" spans="1:79" s="275" customFormat="1" ht="30" customHeight="1" thickBot="1">
      <c r="A37" s="274"/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</row>
    <row r="38" spans="1:79" s="275" customFormat="1" ht="36" customHeight="1">
      <c r="A38" s="585" t="s">
        <v>200</v>
      </c>
      <c r="B38" s="573" t="s">
        <v>201</v>
      </c>
      <c r="C38" s="573" t="s">
        <v>202</v>
      </c>
      <c r="D38" s="587" t="s">
        <v>203</v>
      </c>
      <c r="E38" s="589" t="s">
        <v>204</v>
      </c>
      <c r="F38" s="570" t="s">
        <v>205</v>
      </c>
      <c r="G38" s="572"/>
      <c r="H38" s="575" t="s">
        <v>206</v>
      </c>
      <c r="I38" s="570" t="s">
        <v>207</v>
      </c>
      <c r="J38" s="571"/>
      <c r="K38" s="571"/>
      <c r="L38" s="571"/>
      <c r="M38" s="571"/>
      <c r="N38" s="572"/>
      <c r="O38" s="573" t="s">
        <v>208</v>
      </c>
      <c r="P38" s="573" t="s">
        <v>209</v>
      </c>
      <c r="Q38" s="573"/>
      <c r="R38" s="573"/>
      <c r="S38" s="573"/>
      <c r="T38" s="573"/>
      <c r="U38" s="573"/>
      <c r="V38" s="573"/>
      <c r="W38" s="573"/>
      <c r="X38" s="575" t="s">
        <v>176</v>
      </c>
      <c r="Y38" s="573" t="s">
        <v>210</v>
      </c>
      <c r="Z38" s="577" t="s">
        <v>123</v>
      </c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</row>
    <row r="39" spans="1:79" s="275" customFormat="1" ht="36" customHeight="1">
      <c r="A39" s="586"/>
      <c r="B39" s="574"/>
      <c r="C39" s="574"/>
      <c r="D39" s="588"/>
      <c r="E39" s="590"/>
      <c r="F39" s="279" t="s">
        <v>171</v>
      </c>
      <c r="G39" s="279" t="s">
        <v>172</v>
      </c>
      <c r="H39" s="591"/>
      <c r="I39" s="279" t="s">
        <v>175</v>
      </c>
      <c r="J39" s="279" t="s">
        <v>236</v>
      </c>
      <c r="K39" s="279" t="s">
        <v>212</v>
      </c>
      <c r="L39" s="279" t="s">
        <v>173</v>
      </c>
      <c r="M39" s="279" t="s">
        <v>174</v>
      </c>
      <c r="N39" s="279" t="s">
        <v>177</v>
      </c>
      <c r="O39" s="574"/>
      <c r="P39" s="279" t="s">
        <v>179</v>
      </c>
      <c r="Q39" s="279" t="s">
        <v>213</v>
      </c>
      <c r="R39" s="279" t="s">
        <v>214</v>
      </c>
      <c r="S39" s="279" t="s">
        <v>178</v>
      </c>
      <c r="T39" s="279" t="s">
        <v>215</v>
      </c>
      <c r="U39" s="279" t="s">
        <v>216</v>
      </c>
      <c r="V39" s="279" t="s">
        <v>217</v>
      </c>
      <c r="W39" s="279" t="s">
        <v>218</v>
      </c>
      <c r="X39" s="576"/>
      <c r="Y39" s="574"/>
      <c r="Z39" s="578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</row>
    <row r="40" spans="1:79" s="275" customFormat="1" ht="36" customHeight="1">
      <c r="A40" s="317">
        <v>1</v>
      </c>
      <c r="B40" s="293" t="s">
        <v>220</v>
      </c>
      <c r="C40" s="294" t="s">
        <v>221</v>
      </c>
      <c r="D40" s="279">
        <f>D16</f>
        <v>7</v>
      </c>
      <c r="E40" s="311">
        <f>E17</f>
        <v>13464000</v>
      </c>
      <c r="F40" s="311">
        <f aca="true" t="shared" si="22" ref="F40:Z40">F17</f>
        <v>4488000</v>
      </c>
      <c r="G40" s="311">
        <f t="shared" si="22"/>
        <v>1795200</v>
      </c>
      <c r="H40" s="311">
        <f t="shared" si="22"/>
        <v>1683000</v>
      </c>
      <c r="I40" s="311">
        <f t="shared" si="22"/>
        <v>0</v>
      </c>
      <c r="J40" s="311">
        <f t="shared" si="22"/>
        <v>720000</v>
      </c>
      <c r="K40" s="311">
        <f t="shared" si="22"/>
        <v>1620000</v>
      </c>
      <c r="L40" s="311">
        <f t="shared" si="22"/>
        <v>1346400</v>
      </c>
      <c r="M40" s="311">
        <f t="shared" si="22"/>
        <v>600000</v>
      </c>
      <c r="N40" s="311">
        <f t="shared" si="22"/>
        <v>1018200</v>
      </c>
      <c r="O40" s="311">
        <f t="shared" si="22"/>
        <v>26734800</v>
      </c>
      <c r="P40" s="311">
        <f t="shared" si="22"/>
        <v>146990</v>
      </c>
      <c r="Q40" s="311">
        <f t="shared" si="22"/>
        <v>650040</v>
      </c>
      <c r="R40" s="311">
        <f t="shared" si="22"/>
        <v>45440</v>
      </c>
      <c r="S40" s="311">
        <f t="shared" si="22"/>
        <v>994680</v>
      </c>
      <c r="T40" s="311">
        <f t="shared" si="22"/>
        <v>412450</v>
      </c>
      <c r="U40" s="311">
        <f t="shared" si="22"/>
        <v>41200</v>
      </c>
      <c r="V40" s="311">
        <f t="shared" si="22"/>
        <v>240000</v>
      </c>
      <c r="W40" s="311">
        <f t="shared" si="22"/>
        <v>2530800</v>
      </c>
      <c r="X40" s="311">
        <f t="shared" si="22"/>
        <v>840000</v>
      </c>
      <c r="Y40" s="311">
        <f t="shared" si="22"/>
        <v>25044000</v>
      </c>
      <c r="Z40" s="320">
        <f t="shared" si="22"/>
        <v>2297940</v>
      </c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</row>
    <row r="41" spans="1:79" s="275" customFormat="1" ht="36" customHeight="1" thickBot="1">
      <c r="A41" s="318">
        <v>2</v>
      </c>
      <c r="B41" s="295" t="s">
        <v>237</v>
      </c>
      <c r="C41" s="296" t="s">
        <v>238</v>
      </c>
      <c r="D41" s="312">
        <f>D32</f>
        <v>10</v>
      </c>
      <c r="E41" s="313">
        <f>E33</f>
        <v>15855000</v>
      </c>
      <c r="F41" s="313">
        <f aca="true" t="shared" si="23" ref="F41:Z41">F33</f>
        <v>5285000</v>
      </c>
      <c r="G41" s="313">
        <f t="shared" si="23"/>
        <v>2363400</v>
      </c>
      <c r="H41" s="313">
        <f t="shared" si="23"/>
        <v>1969500</v>
      </c>
      <c r="I41" s="313">
        <f t="shared" si="23"/>
        <v>600000</v>
      </c>
      <c r="J41" s="313">
        <f t="shared" si="23"/>
        <v>720000</v>
      </c>
      <c r="K41" s="313">
        <f t="shared" si="23"/>
        <v>2280000</v>
      </c>
      <c r="L41" s="313">
        <f t="shared" si="23"/>
        <v>1585500</v>
      </c>
      <c r="M41" s="313">
        <f t="shared" si="23"/>
        <v>600000</v>
      </c>
      <c r="N41" s="313">
        <f t="shared" si="23"/>
        <v>1189900</v>
      </c>
      <c r="O41" s="313">
        <f t="shared" si="23"/>
        <v>32448300</v>
      </c>
      <c r="P41" s="313">
        <f t="shared" si="23"/>
        <v>178430</v>
      </c>
      <c r="Q41" s="313">
        <f t="shared" si="23"/>
        <v>712920</v>
      </c>
      <c r="R41" s="313">
        <f t="shared" si="23"/>
        <v>46680</v>
      </c>
      <c r="S41" s="313">
        <f t="shared" si="23"/>
        <v>1090800</v>
      </c>
      <c r="T41" s="313">
        <f t="shared" si="23"/>
        <v>775450</v>
      </c>
      <c r="U41" s="313">
        <f t="shared" si="23"/>
        <v>77480</v>
      </c>
      <c r="V41" s="313">
        <f t="shared" si="23"/>
        <v>240000</v>
      </c>
      <c r="W41" s="313">
        <f t="shared" si="23"/>
        <v>3121760</v>
      </c>
      <c r="X41" s="313">
        <f t="shared" si="23"/>
        <v>840000</v>
      </c>
      <c r="Y41" s="313">
        <f t="shared" si="23"/>
        <v>30166540</v>
      </c>
      <c r="Z41" s="321">
        <f t="shared" si="23"/>
        <v>2774100</v>
      </c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</row>
    <row r="42" spans="1:26" s="292" customFormat="1" ht="36" customHeight="1" thickBot="1">
      <c r="A42" s="314" t="s">
        <v>234</v>
      </c>
      <c r="B42" s="315"/>
      <c r="C42" s="315"/>
      <c r="D42" s="315"/>
      <c r="E42" s="316">
        <f>SUM(E40:E41)</f>
        <v>29319000</v>
      </c>
      <c r="F42" s="316">
        <f aca="true" t="shared" si="24" ref="F42:Z42">SUM(F40:F41)</f>
        <v>9773000</v>
      </c>
      <c r="G42" s="316">
        <f t="shared" si="24"/>
        <v>4158600</v>
      </c>
      <c r="H42" s="316">
        <f t="shared" si="24"/>
        <v>3652500</v>
      </c>
      <c r="I42" s="316">
        <f t="shared" si="24"/>
        <v>600000</v>
      </c>
      <c r="J42" s="316">
        <f t="shared" si="24"/>
        <v>1440000</v>
      </c>
      <c r="K42" s="316">
        <f t="shared" si="24"/>
        <v>3900000</v>
      </c>
      <c r="L42" s="316">
        <f t="shared" si="24"/>
        <v>2931900</v>
      </c>
      <c r="M42" s="316">
        <f t="shared" si="24"/>
        <v>1200000</v>
      </c>
      <c r="N42" s="316">
        <f t="shared" si="24"/>
        <v>2208100</v>
      </c>
      <c r="O42" s="316">
        <f t="shared" si="24"/>
        <v>59183100</v>
      </c>
      <c r="P42" s="316">
        <f t="shared" si="24"/>
        <v>325420</v>
      </c>
      <c r="Q42" s="316">
        <f t="shared" si="24"/>
        <v>1362960</v>
      </c>
      <c r="R42" s="316">
        <f t="shared" si="24"/>
        <v>92120</v>
      </c>
      <c r="S42" s="316">
        <f t="shared" si="24"/>
        <v>2085480</v>
      </c>
      <c r="T42" s="316">
        <f t="shared" si="24"/>
        <v>1187900</v>
      </c>
      <c r="U42" s="316">
        <f t="shared" si="24"/>
        <v>118680</v>
      </c>
      <c r="V42" s="316">
        <f t="shared" si="24"/>
        <v>480000</v>
      </c>
      <c r="W42" s="316">
        <f t="shared" si="24"/>
        <v>5652560</v>
      </c>
      <c r="X42" s="316">
        <f t="shared" si="24"/>
        <v>1680000</v>
      </c>
      <c r="Y42" s="316">
        <f t="shared" si="24"/>
        <v>55210540</v>
      </c>
      <c r="Z42" s="322">
        <f t="shared" si="24"/>
        <v>5072040</v>
      </c>
    </row>
    <row r="43" spans="1:79" s="275" customFormat="1" ht="13.5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5"/>
      <c r="S43" s="284"/>
      <c r="T43" s="284"/>
      <c r="U43" s="284"/>
      <c r="V43" s="284"/>
      <c r="W43" s="284"/>
      <c r="X43" s="284"/>
      <c r="Y43" s="284"/>
      <c r="Z43" s="284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</row>
    <row r="44" spans="1:26" s="275" customFormat="1" ht="13.5">
      <c r="A44" s="284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5"/>
      <c r="S44" s="284"/>
      <c r="T44" s="284"/>
      <c r="U44" s="284"/>
      <c r="V44" s="284"/>
      <c r="W44" s="284"/>
      <c r="X44" s="284"/>
      <c r="Y44" s="284"/>
      <c r="Z44" s="284"/>
    </row>
    <row r="45" spans="1:26" s="275" customFormat="1" ht="13.5">
      <c r="A45" s="284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5"/>
      <c r="S45" s="284"/>
      <c r="T45" s="284"/>
      <c r="U45" s="284"/>
      <c r="V45" s="284"/>
      <c r="W45" s="284"/>
      <c r="X45" s="284"/>
      <c r="Y45" s="284"/>
      <c r="Z45" s="284"/>
    </row>
    <row r="46" spans="1:26" s="275" customFormat="1" ht="161.25" customHeight="1">
      <c r="A46" s="284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5"/>
      <c r="S46" s="284"/>
      <c r="T46" s="284"/>
      <c r="U46" s="284"/>
      <c r="V46" s="284"/>
      <c r="W46" s="284"/>
      <c r="X46" s="284"/>
      <c r="Y46" s="284"/>
      <c r="Z46" s="284"/>
    </row>
  </sheetData>
  <sheetProtection/>
  <mergeCells count="44">
    <mergeCell ref="A1:Z1"/>
    <mergeCell ref="A3:A4"/>
    <mergeCell ref="B3:B4"/>
    <mergeCell ref="C3:C4"/>
    <mergeCell ref="D3:D4"/>
    <mergeCell ref="E3:E4"/>
    <mergeCell ref="F3:G3"/>
    <mergeCell ref="H3:H4"/>
    <mergeCell ref="I3:N3"/>
    <mergeCell ref="O3:O4"/>
    <mergeCell ref="P3:W3"/>
    <mergeCell ref="X3:X4"/>
    <mergeCell ref="Y3:Y4"/>
    <mergeCell ref="Z3:Z4"/>
    <mergeCell ref="A17:D17"/>
    <mergeCell ref="A18:Z18"/>
    <mergeCell ref="A19:A20"/>
    <mergeCell ref="B19:B20"/>
    <mergeCell ref="C19:C20"/>
    <mergeCell ref="D19:D20"/>
    <mergeCell ref="E19:E20"/>
    <mergeCell ref="F19:G19"/>
    <mergeCell ref="H19:H20"/>
    <mergeCell ref="I19:N19"/>
    <mergeCell ref="O19:O20"/>
    <mergeCell ref="P19:W19"/>
    <mergeCell ref="X19:X20"/>
    <mergeCell ref="Y19:Y20"/>
    <mergeCell ref="Z19:Z20"/>
    <mergeCell ref="A33:D33"/>
    <mergeCell ref="A36:Z36"/>
    <mergeCell ref="A38:A39"/>
    <mergeCell ref="B38:B39"/>
    <mergeCell ref="C38:C39"/>
    <mergeCell ref="D38:D39"/>
    <mergeCell ref="E38:E39"/>
    <mergeCell ref="F38:G38"/>
    <mergeCell ref="H38:H39"/>
    <mergeCell ref="I38:N38"/>
    <mergeCell ref="O38:O39"/>
    <mergeCell ref="P38:W38"/>
    <mergeCell ref="X38:X39"/>
    <mergeCell ref="Y38:Y39"/>
    <mergeCell ref="Z38:Z39"/>
  </mergeCells>
  <printOptions/>
  <pageMargins left="0.16" right="0.5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총무과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samu007</dc:creator>
  <cp:keywords/>
  <dc:description/>
  <cp:lastModifiedBy>user</cp:lastModifiedBy>
  <cp:lastPrinted>2012-12-19T13:17:38Z</cp:lastPrinted>
  <dcterms:created xsi:type="dcterms:W3CDTF">2003-01-08T00:56:17Z</dcterms:created>
  <dcterms:modified xsi:type="dcterms:W3CDTF">2013-03-08T05:00:05Z</dcterms:modified>
  <cp:category/>
  <cp:version/>
  <cp:contentType/>
  <cp:contentStatus/>
</cp:coreProperties>
</file>